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" yWindow="36" windowWidth="11976" windowHeight="5892" activeTab="1"/>
  </bookViews>
  <sheets>
    <sheet name="Info" sheetId="1" r:id="rId1"/>
    <sheet name="Sondenauslegung" sheetId="2" r:id="rId2"/>
    <sheet name="Daten" sheetId="3" state="hidden" r:id="rId3"/>
  </sheets>
  <definedNames>
    <definedName name="alpha">'Daten'!$C$42</definedName>
    <definedName name="AnzahlSonden">'Sondenauslegung'!$E$30</definedName>
    <definedName name="COP">'Sondenauslegung'!$D$19</definedName>
    <definedName name="COPist">'Daten'!$F$49</definedName>
    <definedName name="cp">'Sondenauslegung'!$J$9</definedName>
    <definedName name="cpErde">'Daten'!$E$2</definedName>
    <definedName name="dAnschluss">'Sondenauslegung'!$J$21</definedName>
    <definedName name="dAussen">'Sondenauslegung'!$D$34</definedName>
    <definedName name="db">'Sondenauslegung'!$D$32</definedName>
    <definedName name="dinnen">'Daten'!$C$38</definedName>
    <definedName name="_xlnm.Print_Area" localSheetId="2">'Daten'!$A$1:$H$53</definedName>
    <definedName name="_xlnm.Print_Area" localSheetId="0">'Info'!$A$1:$J$30</definedName>
    <definedName name="_xlnm.Print_Area" localSheetId="1">'Sondenauslegung'!$B$1:$L$47</definedName>
    <definedName name="dt">'Sondenauslegung'!$D$31</definedName>
    <definedName name="DV">'Daten'!$N$30:$N$37</definedName>
    <definedName name="eps">'Daten'!$F$23</definedName>
    <definedName name="eta">'Sondenauslegung'!$K$37</definedName>
    <definedName name="Fluid">'Sondenauslegung'!$H$6</definedName>
    <definedName name="gfunk">'Daten'!$C$41</definedName>
    <definedName name="H">'Sondenauslegung'!$E$29</definedName>
    <definedName name="Htot">'Daten'!$V$30</definedName>
    <definedName name="lambdaErde">'Sondenauslegung'!$D$12</definedName>
    <definedName name="länge">'Daten'!$O$30:$O$37</definedName>
    <definedName name="mSonde">'Sondenauslegung'!$D$37</definedName>
    <definedName name="nue">'Sondenauslegung'!$J$8</definedName>
    <definedName name="pd">'Daten'!$C$44</definedName>
    <definedName name="pdynwp">'Daten'!#REF!</definedName>
    <definedName name="petukhov">'Sondenauslegung'!$J$27</definedName>
    <definedName name="pext">'Daten'!$G$47</definedName>
    <definedName name="prandtl">'Daten'!$C$40</definedName>
    <definedName name="Qe">'Daten'!$C$49</definedName>
    <definedName name="Qh">'Sondenauslegung'!$D$18</definedName>
    <definedName name="qspez">'Sondenauslegung'!$E$28</definedName>
    <definedName name="qspezmax">'Daten'!$G$4</definedName>
    <definedName name="ra">'Daten'!$C$43</definedName>
    <definedName name="rb">'Daten'!$C$50</definedName>
    <definedName name="rc">'Daten'!$E$4</definedName>
    <definedName name="re">'Daten'!$C$39</definedName>
    <definedName name="ReAnschluss">'Daten'!$C$52</definedName>
    <definedName name="Rg">'Daten'!$C$46</definedName>
    <definedName name="rho">'Sondenauslegung'!$J$7</definedName>
    <definedName name="rhoErde">'Daten'!$E$3</definedName>
    <definedName name="RWert">'Daten'!$C$45</definedName>
    <definedName name="Sondenlaenge">'Sondenauslegung'!$E$29</definedName>
    <definedName name="TK">'Daten'!$E$1</definedName>
    <definedName name="TR">'Daten'!$C$48</definedName>
    <definedName name="wAnschluss">'Daten'!$C$51</definedName>
    <definedName name="wSonde">'Sondenauslegung'!$D$38</definedName>
    <definedName name="Z_9F19CDA6_5AC2_11D3_9447_008029EBE3C7_.wvu.Cols" localSheetId="2" hidden="1">'Daten'!$J:$R</definedName>
    <definedName name="Z_9F19CDA6_5AC2_11D3_9447_008029EBE3C7_.wvu.PrintArea" localSheetId="1" hidden="1">'Sondenauslegung'!$B$1:$M$47</definedName>
    <definedName name="Zeta">'Daten'!$P$30:$P$37</definedName>
    <definedName name="ZetaAnschluss">'Daten'!$C$53</definedName>
  </definedNames>
  <calcPr fullCalcOnLoad="1"/>
</workbook>
</file>

<file path=xl/comments2.xml><?xml version="1.0" encoding="utf-8"?>
<comments xmlns="http://schemas.openxmlformats.org/spreadsheetml/2006/main">
  <authors>
    <author>Arthur Huber</author>
  </authors>
  <commentList>
    <comment ref="C12" authorId="0">
      <text>
        <r>
          <rPr>
            <b/>
            <sz val="10"/>
            <rFont val="Tahoma"/>
            <family val="2"/>
          </rPr>
          <t>Richtwerte für die Wärmeleitfähigkeit der Erde:</t>
        </r>
        <r>
          <rPr>
            <sz val="10"/>
            <rFont val="Tahoma"/>
            <family val="2"/>
          </rPr>
          <t xml:space="preserve">
Schlamm-Siltstein: 2.3 - 2.6 W/mK (Extreme 1.9 - 2.9 W/mK)
Siltstein: 2.3 - 2.7 W/mK (Extreme 2.0 - 3.2 W/mK)
Feinsandstein: 2.5 - 2.9 W/mK (Extreme 1.9 - 3.4 W/mK)
Mittelsandstein: 2.5 - 3.1 W/mK (Extreme 2.2 - 3.6 W/mK)
Grobsandstein: 2.6 - 2.9 W/mK (Extreme 2.0 - 3.5 W/mK)
</t>
        </r>
      </text>
    </comment>
    <comment ref="I27" authorId="0">
      <text>
        <r>
          <rPr>
            <b/>
            <sz val="10"/>
            <rFont val="Tahoma"/>
            <family val="2"/>
          </rPr>
          <t>Methode zur Berechnung des Druckverlust-Koeffizienten (auch Rohr-Reibungszahl genannt):</t>
        </r>
        <r>
          <rPr>
            <sz val="10"/>
            <rFont val="Tahoma"/>
            <family val="2"/>
          </rPr>
          <t xml:space="preserve">
Es wird empfohlen, die Methode von Petukhov zu verwenden.
Die Methode von Blasius wurde in der Vorgängerversion dieses Programms EWSDRUCK benützt (bis Version 1.1)</t>
        </r>
      </text>
    </comment>
  </commentList>
</comments>
</file>

<file path=xl/sharedStrings.xml><?xml version="1.0" encoding="utf-8"?>
<sst xmlns="http://schemas.openxmlformats.org/spreadsheetml/2006/main" count="291" uniqueCount="218">
  <si>
    <t>Blasius</t>
  </si>
  <si>
    <t>Stoffwerte Sondenfluid</t>
  </si>
  <si>
    <t>kW</t>
  </si>
  <si>
    <t>COP bei obiger Nennleistung</t>
  </si>
  <si>
    <t>-</t>
  </si>
  <si>
    <r>
      <t xml:space="preserve">Dichte </t>
    </r>
    <r>
      <rPr>
        <sz val="10"/>
        <rFont val="Symbol"/>
        <family val="1"/>
      </rPr>
      <t xml:space="preserve"> r</t>
    </r>
  </si>
  <si>
    <t>kg/m3</t>
  </si>
  <si>
    <t>spez. Wärmekapazität cp</t>
  </si>
  <si>
    <t>kJ/(kg*K)</t>
  </si>
  <si>
    <t>Sondenparameter</t>
  </si>
  <si>
    <t>W/m</t>
  </si>
  <si>
    <t>m</t>
  </si>
  <si>
    <t>m/s</t>
  </si>
  <si>
    <t>Anzahl Sonden</t>
  </si>
  <si>
    <t>K</t>
  </si>
  <si>
    <t>Rohrdimension</t>
  </si>
  <si>
    <t>Pa/m</t>
  </si>
  <si>
    <t>kPa</t>
  </si>
  <si>
    <t>kg/h</t>
  </si>
  <si>
    <t>Totaler Druckabfall</t>
  </si>
  <si>
    <t>W</t>
  </si>
  <si>
    <t>Sole</t>
  </si>
  <si>
    <t>Stoffwerte nach: Höchst, Antifrogen N / L</t>
  </si>
  <si>
    <t>Viskosität</t>
  </si>
  <si>
    <t>Medium</t>
  </si>
  <si>
    <t>Dichte</t>
  </si>
  <si>
    <t>bei -10°C</t>
  </si>
  <si>
    <t>0°C</t>
  </si>
  <si>
    <t>bei 10°C</t>
  </si>
  <si>
    <t>cp</t>
  </si>
  <si>
    <t>Frost</t>
  </si>
  <si>
    <t>m2/s</t>
  </si>
  <si>
    <t>°C</t>
  </si>
  <si>
    <t>Temperaturen:</t>
  </si>
  <si>
    <t>Wasser</t>
  </si>
  <si>
    <t>10 °C</t>
  </si>
  <si>
    <t>Monoethylenglykol 25%</t>
  </si>
  <si>
    <t>8 °C</t>
  </si>
  <si>
    <t>Monoethylenglykol 33%</t>
  </si>
  <si>
    <t>6 °C</t>
  </si>
  <si>
    <t>Monopropylenglykol 25%</t>
  </si>
  <si>
    <t>4 °C</t>
  </si>
  <si>
    <t>Monopropylenglykol 33%</t>
  </si>
  <si>
    <t>2 °C</t>
  </si>
  <si>
    <t>0 °C</t>
  </si>
  <si>
    <t>-2 °C</t>
  </si>
  <si>
    <t>Sonde</t>
  </si>
  <si>
    <t>-4 °C</t>
  </si>
  <si>
    <t>Aussendurch.</t>
  </si>
  <si>
    <t>Wandst.</t>
  </si>
  <si>
    <t>Innendurch.</t>
  </si>
  <si>
    <t>-6 °C</t>
  </si>
  <si>
    <t>-8 °C</t>
  </si>
  <si>
    <t>-10 °C</t>
  </si>
  <si>
    <t>Pumpen-Auslegungsprogramm für Erdsonden</t>
  </si>
  <si>
    <t>Wärmebedarf</t>
  </si>
  <si>
    <t>Wärmepumpe</t>
  </si>
  <si>
    <t xml:space="preserve">Leistungsaufnahme (elektrisch) </t>
  </si>
  <si>
    <t>Gebäude Total</t>
  </si>
  <si>
    <t>Warmwasserbedarf</t>
  </si>
  <si>
    <t>Nennleistung Wärmepumpe</t>
  </si>
  <si>
    <t>Standort</t>
  </si>
  <si>
    <t>Jahresmitteltemperatur</t>
  </si>
  <si>
    <t>mittlere Erdreichtemperatur</t>
  </si>
  <si>
    <t>Entzugsprofil</t>
  </si>
  <si>
    <t>Lage</t>
  </si>
  <si>
    <t>Wärmeleitfähigkeit der  Erde</t>
  </si>
  <si>
    <t>W/mK</t>
  </si>
  <si>
    <t>Andere</t>
  </si>
  <si>
    <t>Faktor</t>
  </si>
  <si>
    <t>Mittelland 500m</t>
  </si>
  <si>
    <t>Voralpen 1000m</t>
  </si>
  <si>
    <t>Alpen 1500m</t>
  </si>
  <si>
    <t>g(t,H)</t>
  </si>
  <si>
    <t>cm</t>
  </si>
  <si>
    <t>J/(kg*K)</t>
  </si>
  <si>
    <t>kg/m³</t>
  </si>
  <si>
    <t>Zeit</t>
  </si>
  <si>
    <t>s</t>
  </si>
  <si>
    <t>Bohrtiefe</t>
  </si>
  <si>
    <t>Bohrlochdurchmesser</t>
  </si>
  <si>
    <t>Frost bei</t>
  </si>
  <si>
    <t>Prandtl</t>
  </si>
  <si>
    <t>Lang                      (20 Tage)</t>
  </si>
  <si>
    <t>Volumenstrommesser</t>
  </si>
  <si>
    <r>
      <t xml:space="preserve">Kinematische Viskosität </t>
    </r>
    <r>
      <rPr>
        <sz val="10"/>
        <rFont val="Symbol"/>
        <family val="1"/>
      </rPr>
      <t>n</t>
    </r>
  </si>
  <si>
    <r>
      <t>kg/m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</si>
  <si>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0"/>
      </rPr>
      <t>/s</t>
    </r>
  </si>
  <si>
    <t>Nenndruckverlust Verdampfer</t>
  </si>
  <si>
    <t>Verteiler</t>
  </si>
  <si>
    <t>Stk.</t>
  </si>
  <si>
    <t>mm</t>
  </si>
  <si>
    <t>Fabrikat:</t>
  </si>
  <si>
    <t>Typ:</t>
  </si>
  <si>
    <t>Leistungsaufnahme:</t>
  </si>
  <si>
    <t>COP:</t>
  </si>
  <si>
    <t>Sonden</t>
  </si>
  <si>
    <t>Bohrtiefe:</t>
  </si>
  <si>
    <t>Bohrdurchmesser:</t>
  </si>
  <si>
    <t>Sondendurchmesser:</t>
  </si>
  <si>
    <t>DN 25</t>
  </si>
  <si>
    <t>DN 32</t>
  </si>
  <si>
    <t>DN 40</t>
  </si>
  <si>
    <t>Umwälzpumpe</t>
  </si>
  <si>
    <t>Wirkungsgrad:</t>
  </si>
  <si>
    <t>%</t>
  </si>
  <si>
    <t>Volumenstrom:</t>
  </si>
  <si>
    <t>Förderhöhe:</t>
  </si>
  <si>
    <t>m³/h</t>
  </si>
  <si>
    <t>Wärmebedarf (total):</t>
  </si>
  <si>
    <t>Wärmeübergang</t>
  </si>
  <si>
    <t>Nusselt turb.</t>
  </si>
  <si>
    <t>Nusselt lam.</t>
  </si>
  <si>
    <t>Alpha</t>
  </si>
  <si>
    <t>nach Cerbe-</t>
  </si>
  <si>
    <t>Hoffmann</t>
  </si>
  <si>
    <t>Entzugsprofil / Schaltintervall</t>
  </si>
  <si>
    <t>Aktuelle Werte:</t>
  </si>
  <si>
    <t>dinnen</t>
  </si>
  <si>
    <t>Prandtl-Zahl</t>
  </si>
  <si>
    <t>g-funktion</t>
  </si>
  <si>
    <r>
      <t>a</t>
    </r>
    <r>
      <rPr>
        <sz val="10"/>
        <rFont val="Arial"/>
        <family val="0"/>
      </rPr>
      <t>-Wert</t>
    </r>
  </si>
  <si>
    <t>thermischer Sondenwiderstand</t>
  </si>
  <si>
    <r>
      <t>R</t>
    </r>
    <r>
      <rPr>
        <vertAlign val="subscript"/>
        <sz val="10"/>
        <rFont val="Arial"/>
        <family val="2"/>
      </rPr>
      <t>c</t>
    </r>
  </si>
  <si>
    <t>Km/W</t>
  </si>
  <si>
    <t>Pa</t>
  </si>
  <si>
    <t>R-Wert</t>
  </si>
  <si>
    <t>max.</t>
  </si>
  <si>
    <t>qspez.</t>
  </si>
  <si>
    <t>Volumenstrom</t>
  </si>
  <si>
    <t>m³/s</t>
  </si>
  <si>
    <t>Wirkungsgrad der Pumpe</t>
  </si>
  <si>
    <t>benötigte Leistung der Pumpe</t>
  </si>
  <si>
    <t>mittlere Dichte der Erde</t>
  </si>
  <si>
    <t>spez. Wärmekapazität der Erde</t>
  </si>
  <si>
    <r>
      <t xml:space="preserve">r </t>
    </r>
    <r>
      <rPr>
        <vertAlign val="subscript"/>
        <sz val="10"/>
        <rFont val="Arial"/>
        <family val="2"/>
      </rPr>
      <t>Erde</t>
    </r>
  </si>
  <si>
    <r>
      <t xml:space="preserve">cp </t>
    </r>
    <r>
      <rPr>
        <vertAlign val="subscript"/>
        <sz val="10"/>
        <rFont val="Arial"/>
        <family val="2"/>
      </rPr>
      <t>Erde</t>
    </r>
  </si>
  <si>
    <t>lambda Fluid</t>
  </si>
  <si>
    <t>Total externe Druckverluste:</t>
  </si>
  <si>
    <t>externe Druckverluste:</t>
  </si>
  <si>
    <t>Medium:</t>
  </si>
  <si>
    <r>
      <t xml:space="preserve">Wärmeübergangskoeffizient </t>
    </r>
    <r>
      <rPr>
        <sz val="10"/>
        <rFont val="Symbol"/>
        <family val="1"/>
      </rPr>
      <t>a</t>
    </r>
  </si>
  <si>
    <t>W/m²K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</si>
  <si>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</t>
    </r>
  </si>
  <si>
    <r>
      <t>"R</t>
    </r>
    <r>
      <rPr>
        <sz val="10"/>
        <rFont val="Symbol"/>
        <family val="1"/>
      </rPr>
      <t>a</t>
    </r>
    <r>
      <rPr>
        <sz val="10"/>
        <rFont val="Arial"/>
        <family val="0"/>
      </rPr>
      <t>"</t>
    </r>
  </si>
  <si>
    <t>"Rg"</t>
  </si>
  <si>
    <t>"Rm"</t>
  </si>
  <si>
    <t>Anteil der Umwälzpumpe am gesamten Energieverbrauch</t>
  </si>
  <si>
    <t>Objekt:</t>
  </si>
  <si>
    <t>"Rb"</t>
  </si>
  <si>
    <t>Schnell              (2 Tage)</t>
  </si>
  <si>
    <t>Mittel                   (5 Tage)</t>
  </si>
  <si>
    <t>Leistungsaufnahme Pumpe</t>
  </si>
  <si>
    <t>Gebäude und Standort</t>
  </si>
  <si>
    <t>Sonden - Umwälzpumpe</t>
  </si>
  <si>
    <t>Anteil  der Pumpenenergie am Stromverbrauch</t>
  </si>
  <si>
    <t>Reynoldszahl Zuleitung</t>
  </si>
  <si>
    <t>Sondenfuss</t>
  </si>
  <si>
    <t xml:space="preserve">  Anteil Sondenpumpe:</t>
  </si>
  <si>
    <t xml:space="preserve">Diese Arbeit ist im Auftrag des Bundesamtes für Energie entstanden. Für den Inhalt </t>
  </si>
  <si>
    <t>und die Schlussfolgerungen ist ausschliesslich der Autor dieses Berichts verantwortlich.</t>
  </si>
  <si>
    <t xml:space="preserve">  </t>
  </si>
  <si>
    <t>Druckverlust-Berechnung:</t>
  </si>
  <si>
    <t>Petukhov (empfohlen)</t>
  </si>
  <si>
    <t>Nennmassenstrom Verdampfer</t>
  </si>
  <si>
    <t>horizontale Sondenzuleitung</t>
  </si>
  <si>
    <t>WP-Verdampfer</t>
  </si>
  <si>
    <t>Massenstrom Verdampfer</t>
  </si>
  <si>
    <t>Reynoldszahl Sonde</t>
  </si>
  <si>
    <r>
      <t xml:space="preserve">Druckverlustkoeff. </t>
    </r>
    <r>
      <rPr>
        <sz val="10"/>
        <rFont val="Symbol"/>
        <family val="1"/>
      </rPr>
      <t>x</t>
    </r>
    <r>
      <rPr>
        <sz val="10"/>
        <rFont val="Arial"/>
        <family val="2"/>
      </rPr>
      <t xml:space="preserve"> Sonde</t>
    </r>
  </si>
  <si>
    <r>
      <t xml:space="preserve">Druckverlustkoeff. </t>
    </r>
    <r>
      <rPr>
        <sz val="10"/>
        <rFont val="Symbol"/>
        <family val="1"/>
      </rPr>
      <t>x</t>
    </r>
    <r>
      <rPr>
        <sz val="10"/>
        <rFont val="Arial"/>
        <family val="2"/>
      </rPr>
      <t xml:space="preserve"> Zuleitg.</t>
    </r>
  </si>
  <si>
    <t>mittlere Geschw. in Zuleitung</t>
  </si>
  <si>
    <t>Entzugsleistung Qerde</t>
  </si>
  <si>
    <t>25 mm Doppel-U</t>
  </si>
  <si>
    <t>32 mm Doppel-U</t>
  </si>
  <si>
    <t>40 mm Doppel-U</t>
  </si>
  <si>
    <t>Temperaturdifferenz Vorl./Rückl.</t>
  </si>
  <si>
    <t>Art der Strömung (laminar/turbul.)</t>
  </si>
  <si>
    <t>Strömungswerte (für 1 Sonden-Rohr)</t>
  </si>
  <si>
    <t>Massenstrom in Sondenrohr</t>
  </si>
  <si>
    <t>Geschwindigkeit in Sondenrohr</t>
  </si>
  <si>
    <t>mittlerer spezifischer Druckverlust</t>
  </si>
  <si>
    <t>Druckverlust im Sondenrohr</t>
  </si>
  <si>
    <t>Sonstige Elemente</t>
  </si>
  <si>
    <t>Bögen und Tauchhülsen</t>
  </si>
  <si>
    <r>
      <t xml:space="preserve">aus eingegebenem </t>
    </r>
    <r>
      <rPr>
        <sz val="10"/>
        <rFont val="Symbol"/>
        <family val="1"/>
      </rPr>
      <t>z</t>
    </r>
    <r>
      <rPr>
        <sz val="10"/>
        <rFont val="Arial"/>
        <family val="2"/>
      </rPr>
      <t>- oder</t>
    </r>
    <r>
      <rPr>
        <sz val="10"/>
        <rFont val="Symbol"/>
        <family val="1"/>
      </rPr>
      <t xml:space="preserve"> Sz</t>
    </r>
  </si>
  <si>
    <t>Verteiler Nenndruckverlust</t>
  </si>
  <si>
    <t>Verteiler Nennmassenstrom</t>
  </si>
  <si>
    <t>Vol.strommesser Nenndruckverlust</t>
  </si>
  <si>
    <t>Vol.strommesser Nennmassenstrom</t>
  </si>
  <si>
    <t>Sonstige Elemente Nenndruckverlust</t>
  </si>
  <si>
    <t>Sonstige Elemente Nennmassenstrom</t>
  </si>
  <si>
    <t>Sondenanschlüsse Innendurchmesser</t>
  </si>
  <si>
    <t>Sondenanschlüsse Länge horizontale</t>
  </si>
  <si>
    <r>
      <t xml:space="preserve">Sonstige </t>
    </r>
    <r>
      <rPr>
        <sz val="10"/>
        <rFont val="Symbol"/>
        <family val="1"/>
      </rPr>
      <t>z</t>
    </r>
    <r>
      <rPr>
        <sz val="10"/>
        <rFont val="Arial"/>
        <family val="2"/>
      </rPr>
      <t xml:space="preserve">-Werte oder </t>
    </r>
    <r>
      <rPr>
        <sz val="10"/>
        <rFont val="Symbol"/>
        <family val="1"/>
      </rPr>
      <t>Sz</t>
    </r>
  </si>
  <si>
    <t>Druckverluste in Verteiler, Zuleitung und Sonde</t>
  </si>
  <si>
    <r>
      <t xml:space="preserve">Methode Berechg. Druckverlustkoeff. </t>
    </r>
    <r>
      <rPr>
        <sz val="10"/>
        <rFont val="Symbol"/>
        <family val="1"/>
      </rPr>
      <t>x</t>
    </r>
  </si>
  <si>
    <t>Dimensionierungshilfe für Umwälzpumpen in geschlossenen Erdwärmesonden:</t>
  </si>
  <si>
    <t>Programm   E W S D R U C K</t>
  </si>
  <si>
    <t>Hergestellt im Rahmen des UAW-Forschungsprojektes: "Kostengünstige Niedrigtemperaturheizung mit Wärmepumpe"</t>
  </si>
  <si>
    <t>Hergestellt von:</t>
  </si>
  <si>
    <t>Arthur Huber, Markus Ochs</t>
  </si>
  <si>
    <t>Huber Energietechnik AG, Zürich</t>
  </si>
  <si>
    <t>Michael Wetter</t>
  </si>
  <si>
    <t>Hochschule Technik+Architektur Luzern (HTA)</t>
  </si>
  <si>
    <t>Felix Kaufmann</t>
  </si>
  <si>
    <t>Version:</t>
  </si>
  <si>
    <t>2.0</t>
  </si>
  <si>
    <t>spezifische Sondenleistung</t>
  </si>
  <si>
    <t>T_Sink (Rücklauf)</t>
  </si>
  <si>
    <r>
      <t>Bogen 90° (</t>
    </r>
    <r>
      <rPr>
        <sz val="10"/>
        <rFont val="Symbol"/>
        <family val="1"/>
      </rPr>
      <t>z</t>
    </r>
    <r>
      <rPr>
        <sz val="10"/>
        <rFont val="Arial"/>
        <family val="0"/>
      </rPr>
      <t xml:space="preserve"> = 2)</t>
    </r>
  </si>
  <si>
    <r>
      <t>Tauchhülsen (</t>
    </r>
    <r>
      <rPr>
        <sz val="10"/>
        <rFont val="Symbol"/>
        <family val="1"/>
      </rPr>
      <t>z</t>
    </r>
    <r>
      <rPr>
        <sz val="10"/>
        <rFont val="Arial"/>
        <family val="0"/>
      </rPr>
      <t xml:space="preserve"> = 1)</t>
    </r>
  </si>
  <si>
    <t>p_dyn,Sonde</t>
  </si>
  <si>
    <t>Sonden am Bohrkopf zusammengefasst</t>
  </si>
  <si>
    <t>ja</t>
  </si>
  <si>
    <t>nein</t>
  </si>
  <si>
    <t>Am Bohrkopf zusammengefasst?</t>
  </si>
  <si>
    <t>August 2007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</si>
</sst>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0.000000000"/>
    <numFmt numFmtId="186" formatCode="0.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0.0000000000"/>
    <numFmt numFmtId="194" formatCode="0.0000E+00;\唌"/>
    <numFmt numFmtId="195" formatCode="0.0000E+00;\&#10;"/>
    <numFmt numFmtId="196" formatCode="0.000E+00;\&#10;"/>
    <numFmt numFmtId="197" formatCode="0.00E+00;\&#10;"/>
    <numFmt numFmtId="198" formatCode="0.0E+00;\&#10;"/>
    <numFmt numFmtId="199" formatCode="0.0000000000000"/>
    <numFmt numFmtId="200" formatCode="0.000000000000"/>
    <numFmt numFmtId="201" formatCode="0.00000000000"/>
    <numFmt numFmtId="202" formatCode="0.00000000000000"/>
    <numFmt numFmtId="203" formatCode="0.000000000000000"/>
    <numFmt numFmtId="204" formatCode="0.0000000000000000"/>
    <numFmt numFmtId="205" formatCode="0.0000000000000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0"/>
    </font>
    <font>
      <i/>
      <sz val="6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8"/>
      <color indexed="10"/>
      <name val="Arial"/>
      <family val="0"/>
    </font>
    <font>
      <b/>
      <sz val="12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u val="single"/>
      <sz val="24"/>
      <color indexed="10"/>
      <name val="Arial"/>
      <family val="2"/>
    </font>
    <font>
      <i/>
      <sz val="8"/>
      <color indexed="10"/>
      <name val="Arial"/>
      <family val="0"/>
    </font>
    <font>
      <b/>
      <i/>
      <sz val="8"/>
      <color indexed="10"/>
      <name val="Arial"/>
      <family val="0"/>
    </font>
    <font>
      <sz val="8"/>
      <color indexed="10"/>
      <name val="Arial"/>
      <family val="2"/>
    </font>
    <font>
      <b/>
      <sz val="3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Continuous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4" xfId="0" applyFont="1" applyFill="1" applyBorder="1" applyAlignment="1">
      <alignment horizontal="centerContinuous"/>
    </xf>
    <xf numFmtId="0" fontId="6" fillId="3" borderId="0" xfId="0" applyFont="1" applyFill="1" applyAlignment="1">
      <alignment/>
    </xf>
    <xf numFmtId="1" fontId="0" fillId="4" borderId="10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 horizontal="center"/>
    </xf>
    <xf numFmtId="2" fontId="0" fillId="3" borderId="0" xfId="0" applyNumberFormat="1" applyFill="1" applyAlignment="1">
      <alignment/>
    </xf>
    <xf numFmtId="2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12" fillId="3" borderId="0" xfId="0" applyFont="1" applyFill="1" applyAlignment="1">
      <alignment/>
    </xf>
    <xf numFmtId="181" fontId="0" fillId="3" borderId="0" xfId="0" applyNumberFormat="1" applyFill="1" applyAlignment="1">
      <alignment/>
    </xf>
    <xf numFmtId="18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3" borderId="5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49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/>
    </xf>
    <xf numFmtId="2" fontId="0" fillId="3" borderId="0" xfId="0" applyNumberFormat="1" applyFill="1" applyBorder="1" applyAlignment="1">
      <alignment/>
    </xf>
    <xf numFmtId="183" fontId="0" fillId="3" borderId="0" xfId="0" applyNumberFormat="1" applyFill="1" applyAlignment="1">
      <alignment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179" fontId="1" fillId="2" borderId="1" xfId="0" applyNumberFormat="1" applyFont="1" applyFill="1" applyBorder="1" applyAlignment="1" applyProtection="1">
      <alignment/>
      <protection locked="0"/>
    </xf>
    <xf numFmtId="178" fontId="0" fillId="3" borderId="0" xfId="0" applyNumberFormat="1" applyFill="1" applyBorder="1" applyAlignment="1">
      <alignment/>
    </xf>
    <xf numFmtId="0" fontId="20" fillId="3" borderId="0" xfId="0" applyFont="1" applyFill="1" applyBorder="1" applyAlignment="1" quotePrefix="1">
      <alignment horizontal="center"/>
    </xf>
    <xf numFmtId="0" fontId="20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/>
    </xf>
    <xf numFmtId="0" fontId="22" fillId="3" borderId="0" xfId="0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/>
    </xf>
    <xf numFmtId="2" fontId="21" fillId="3" borderId="0" xfId="0" applyNumberFormat="1" applyFont="1" applyFill="1" applyAlignment="1">
      <alignment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quotePrefix="1">
      <alignment horizontal="left"/>
    </xf>
    <xf numFmtId="0" fontId="0" fillId="3" borderId="0" xfId="0" applyFill="1" applyBorder="1" applyAlignment="1" quotePrefix="1">
      <alignment horizontal="left"/>
    </xf>
    <xf numFmtId="178" fontId="0" fillId="3" borderId="0" xfId="0" applyNumberFormat="1" applyFill="1" applyAlignment="1">
      <alignment/>
    </xf>
    <xf numFmtId="0" fontId="0" fillId="3" borderId="5" xfId="0" applyFont="1" applyFill="1" applyBorder="1" applyAlignment="1">
      <alignment/>
    </xf>
    <xf numFmtId="0" fontId="0" fillId="5" borderId="15" xfId="0" applyFill="1" applyBorder="1" applyAlignment="1">
      <alignment/>
    </xf>
    <xf numFmtId="179" fontId="10" fillId="5" borderId="15" xfId="0" applyNumberFormat="1" applyFont="1" applyFill="1" applyBorder="1" applyAlignment="1" applyProtection="1">
      <alignment/>
      <protection/>
    </xf>
    <xf numFmtId="0" fontId="10" fillId="5" borderId="16" xfId="0" applyFont="1" applyFill="1" applyBorder="1" applyAlignment="1" applyProtection="1">
      <alignment/>
      <protection/>
    </xf>
    <xf numFmtId="0" fontId="10" fillId="5" borderId="17" xfId="0" applyFont="1" applyFill="1" applyBorder="1" applyAlignment="1" applyProtection="1" quotePrefix="1">
      <alignment horizontal="left"/>
      <protection/>
    </xf>
    <xf numFmtId="0" fontId="0" fillId="6" borderId="0" xfId="0" applyFill="1" applyAlignment="1">
      <alignment/>
    </xf>
    <xf numFmtId="0" fontId="9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10" fillId="6" borderId="0" xfId="0" applyFont="1" applyFill="1" applyAlignment="1" quotePrefix="1">
      <alignment horizontal="left"/>
    </xf>
    <xf numFmtId="0" fontId="10" fillId="6" borderId="0" xfId="0" applyFont="1" applyFill="1" applyAlignment="1">
      <alignment/>
    </xf>
    <xf numFmtId="0" fontId="0" fillId="6" borderId="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6" borderId="1" xfId="0" applyFont="1" applyFill="1" applyBorder="1" applyAlignment="1" applyProtection="1">
      <alignment/>
      <protection locked="0"/>
    </xf>
    <xf numFmtId="0" fontId="1" fillId="6" borderId="10" xfId="0" applyFont="1" applyFill="1" applyBorder="1" applyAlignment="1" applyProtection="1">
      <alignment/>
      <protection locked="0"/>
    </xf>
    <xf numFmtId="0" fontId="5" fillId="6" borderId="0" xfId="0" applyFont="1" applyFill="1" applyAlignment="1" applyProtection="1">
      <alignment horizontal="left"/>
      <protection/>
    </xf>
    <xf numFmtId="0" fontId="0" fillId="6" borderId="1" xfId="0" applyFont="1" applyFill="1" applyBorder="1" applyAlignment="1">
      <alignment/>
    </xf>
    <xf numFmtId="0" fontId="0" fillId="6" borderId="0" xfId="0" applyFont="1" applyFill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14" xfId="0" applyFill="1" applyBorder="1" applyAlignment="1">
      <alignment/>
    </xf>
    <xf numFmtId="1" fontId="0" fillId="6" borderId="1" xfId="0" applyNumberFormat="1" applyFill="1" applyBorder="1" applyAlignment="1">
      <alignment/>
    </xf>
    <xf numFmtId="179" fontId="0" fillId="6" borderId="1" xfId="0" applyNumberForma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1" fillId="6" borderId="0" xfId="0" applyFont="1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/>
    </xf>
    <xf numFmtId="179" fontId="0" fillId="6" borderId="1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 applyProtection="1">
      <alignment horizontal="right"/>
      <protection/>
    </xf>
    <xf numFmtId="49" fontId="0" fillId="6" borderId="1" xfId="0" applyNumberFormat="1" applyFill="1" applyBorder="1" applyAlignment="1" applyProtection="1">
      <alignment horizontal="right"/>
      <protection/>
    </xf>
    <xf numFmtId="0" fontId="0" fillId="6" borderId="0" xfId="0" applyFill="1" applyAlignment="1" quotePrefix="1">
      <alignment/>
    </xf>
    <xf numFmtId="0" fontId="0" fillId="6" borderId="14" xfId="0" applyFill="1" applyBorder="1" applyAlignment="1" quotePrefix="1">
      <alignment/>
    </xf>
    <xf numFmtId="0" fontId="9" fillId="6" borderId="0" xfId="0" applyFont="1" applyFill="1" applyAlignment="1" quotePrefix="1">
      <alignment/>
    </xf>
    <xf numFmtId="0" fontId="0" fillId="6" borderId="14" xfId="0" applyFill="1" applyBorder="1" applyAlignment="1" applyProtection="1" quotePrefix="1">
      <alignment/>
      <protection locked="0"/>
    </xf>
    <xf numFmtId="0" fontId="0" fillId="6" borderId="14" xfId="0" applyFill="1" applyBorder="1" applyAlignment="1" quotePrefix="1">
      <alignment horizontal="left"/>
    </xf>
    <xf numFmtId="0" fontId="9" fillId="6" borderId="0" xfId="0" applyFont="1" applyFill="1" applyBorder="1" applyAlignment="1">
      <alignment/>
    </xf>
    <xf numFmtId="0" fontId="9" fillId="6" borderId="0" xfId="0" applyFont="1" applyFill="1" applyAlignment="1" applyProtection="1">
      <alignment/>
      <protection/>
    </xf>
    <xf numFmtId="0" fontId="0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" fillId="6" borderId="10" xfId="0" applyFont="1" applyFill="1" applyBorder="1" applyAlignment="1">
      <alignment/>
    </xf>
    <xf numFmtId="0" fontId="0" fillId="6" borderId="0" xfId="0" applyFill="1" applyAlignment="1">
      <alignment horizontal="right"/>
    </xf>
    <xf numFmtId="0" fontId="0" fillId="6" borderId="10" xfId="0" applyFont="1" applyFill="1" applyBorder="1" applyAlignment="1">
      <alignment/>
    </xf>
    <xf numFmtId="0" fontId="1" fillId="6" borderId="4" xfId="0" applyFont="1" applyFill="1" applyBorder="1" applyAlignment="1" applyProtection="1">
      <alignment/>
      <protection/>
    </xf>
    <xf numFmtId="1" fontId="0" fillId="6" borderId="1" xfId="0" applyNumberFormat="1" applyFill="1" applyBorder="1" applyAlignment="1" applyProtection="1">
      <alignment/>
      <protection locked="0"/>
    </xf>
    <xf numFmtId="2" fontId="0" fillId="6" borderId="11" xfId="0" applyNumberFormat="1" applyFill="1" applyBorder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/>
      <protection/>
    </xf>
    <xf numFmtId="182" fontId="0" fillId="6" borderId="11" xfId="0" applyNumberFormat="1" applyFill="1" applyBorder="1" applyAlignment="1" applyProtection="1">
      <alignment/>
      <protection/>
    </xf>
    <xf numFmtId="0" fontId="10" fillId="6" borderId="0" xfId="0" applyFont="1" applyFill="1" applyAlignment="1" applyProtection="1">
      <alignment/>
      <protection/>
    </xf>
    <xf numFmtId="179" fontId="0" fillId="6" borderId="11" xfId="0" applyNumberFormat="1" applyFill="1" applyBorder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2" fontId="0" fillId="6" borderId="1" xfId="0" applyNumberFormat="1" applyFill="1" applyBorder="1" applyAlignment="1" applyProtection="1">
      <alignment/>
      <protection/>
    </xf>
    <xf numFmtId="0" fontId="0" fillId="6" borderId="1" xfId="0" applyFill="1" applyBorder="1" applyAlignment="1" applyProtection="1" quotePrefix="1">
      <alignment horizontal="left"/>
      <protection/>
    </xf>
    <xf numFmtId="0" fontId="0" fillId="6" borderId="11" xfId="0" applyFont="1" applyFill="1" applyBorder="1" applyAlignment="1" applyProtection="1">
      <alignment horizontal="centerContinuous"/>
      <protection/>
    </xf>
    <xf numFmtId="0" fontId="0" fillId="6" borderId="10" xfId="0" applyFill="1" applyBorder="1" applyAlignment="1" applyProtection="1">
      <alignment horizontal="centerContinuous"/>
      <protection/>
    </xf>
    <xf numFmtId="0" fontId="1" fillId="6" borderId="0" xfId="0" applyFont="1" applyFill="1" applyAlignment="1">
      <alignment/>
    </xf>
    <xf numFmtId="0" fontId="8" fillId="6" borderId="0" xfId="0" applyFont="1" applyFill="1" applyAlignment="1" applyProtection="1">
      <alignment/>
      <protection/>
    </xf>
    <xf numFmtId="179" fontId="0" fillId="6" borderId="0" xfId="0" applyNumberFormat="1" applyFill="1" applyAlignment="1">
      <alignment/>
    </xf>
    <xf numFmtId="0" fontId="12" fillId="6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1" fontId="11" fillId="3" borderId="0" xfId="0" applyNumberFormat="1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1" fontId="18" fillId="3" borderId="0" xfId="0" applyNumberFormat="1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right"/>
      <protection/>
    </xf>
    <xf numFmtId="0" fontId="11" fillId="3" borderId="0" xfId="0" applyNumberFormat="1" applyFont="1" applyFill="1" applyBorder="1" applyAlignment="1" applyProtection="1">
      <alignment horizontal="right"/>
      <protection/>
    </xf>
    <xf numFmtId="179" fontId="11" fillId="3" borderId="0" xfId="0" applyNumberFormat="1" applyFont="1" applyFill="1" applyBorder="1" applyAlignment="1" applyProtection="1">
      <alignment horizontal="right"/>
      <protection/>
    </xf>
    <xf numFmtId="179" fontId="18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2" fontId="11" fillId="3" borderId="0" xfId="0" applyNumberFormat="1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 applyProtection="1" quotePrefix="1">
      <alignment horizontal="left"/>
      <protection/>
    </xf>
    <xf numFmtId="1" fontId="11" fillId="3" borderId="0" xfId="0" applyNumberFormat="1" applyFont="1" applyFill="1" applyBorder="1" applyAlignment="1" applyProtection="1">
      <alignment horizontal="right"/>
      <protection/>
    </xf>
    <xf numFmtId="179" fontId="19" fillId="3" borderId="18" xfId="0" applyNumberFormat="1" applyFont="1" applyFill="1" applyBorder="1" applyAlignment="1" applyProtection="1">
      <alignment/>
      <protection/>
    </xf>
    <xf numFmtId="0" fontId="19" fillId="3" borderId="19" xfId="0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1" fontId="0" fillId="4" borderId="10" xfId="0" applyNumberFormat="1" applyFont="1" applyFill="1" applyBorder="1" applyAlignment="1" applyProtection="1">
      <alignment horizontal="right"/>
      <protection/>
    </xf>
    <xf numFmtId="1" fontId="0" fillId="4" borderId="10" xfId="0" applyNumberFormat="1" applyFont="1" applyFill="1" applyBorder="1" applyAlignment="1" applyProtection="1">
      <alignment/>
      <protection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/>
    </xf>
    <xf numFmtId="0" fontId="21" fillId="6" borderId="21" xfId="0" applyFont="1" applyFill="1" applyBorder="1" applyAlignment="1">
      <alignment/>
    </xf>
    <xf numFmtId="0" fontId="25" fillId="6" borderId="21" xfId="0" applyFont="1" applyFill="1" applyBorder="1" applyAlignment="1">
      <alignment horizontal="center"/>
    </xf>
    <xf numFmtId="0" fontId="25" fillId="6" borderId="22" xfId="0" applyFont="1" applyFill="1" applyBorder="1" applyAlignment="1">
      <alignment/>
    </xf>
    <xf numFmtId="0" fontId="21" fillId="6" borderId="21" xfId="0" applyFont="1" applyFill="1" applyBorder="1" applyAlignment="1" applyProtection="1">
      <alignment/>
      <protection/>
    </xf>
    <xf numFmtId="178" fontId="21" fillId="6" borderId="21" xfId="0" applyNumberFormat="1" applyFont="1" applyFill="1" applyBorder="1" applyAlignment="1" applyProtection="1">
      <alignment/>
      <protection/>
    </xf>
    <xf numFmtId="0" fontId="21" fillId="6" borderId="23" xfId="0" applyFont="1" applyFill="1" applyBorder="1" applyAlignment="1" applyProtection="1">
      <alignment/>
      <protection/>
    </xf>
    <xf numFmtId="0" fontId="25" fillId="6" borderId="24" xfId="0" applyFont="1" applyFill="1" applyBorder="1" applyAlignment="1">
      <alignment/>
    </xf>
    <xf numFmtId="0" fontId="25" fillId="6" borderId="25" xfId="0" applyFont="1" applyFill="1" applyBorder="1" applyAlignment="1">
      <alignment/>
    </xf>
    <xf numFmtId="0" fontId="21" fillId="6" borderId="25" xfId="0" applyFont="1" applyFill="1" applyBorder="1" applyAlignment="1">
      <alignment/>
    </xf>
    <xf numFmtId="0" fontId="25" fillId="6" borderId="25" xfId="0" applyFont="1" applyFill="1" applyBorder="1" applyAlignment="1">
      <alignment horizontal="center"/>
    </xf>
    <xf numFmtId="0" fontId="25" fillId="6" borderId="26" xfId="0" applyFont="1" applyFill="1" applyBorder="1" applyAlignment="1">
      <alignment/>
    </xf>
    <xf numFmtId="0" fontId="21" fillId="6" borderId="25" xfId="0" applyFont="1" applyFill="1" applyBorder="1" applyAlignment="1" applyProtection="1">
      <alignment/>
      <protection/>
    </xf>
    <xf numFmtId="205" fontId="21" fillId="6" borderId="25" xfId="0" applyNumberFormat="1" applyFont="1" applyFill="1" applyBorder="1" applyAlignment="1" applyProtection="1">
      <alignment/>
      <protection/>
    </xf>
    <xf numFmtId="0" fontId="21" fillId="6" borderId="27" xfId="0" applyFont="1" applyFill="1" applyBorder="1" applyAlignment="1" applyProtection="1">
      <alignment/>
      <protection/>
    </xf>
    <xf numFmtId="2" fontId="20" fillId="3" borderId="0" xfId="0" applyNumberFormat="1" applyFont="1" applyFill="1" applyBorder="1" applyAlignment="1">
      <alignment/>
    </xf>
    <xf numFmtId="0" fontId="0" fillId="3" borderId="0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182" fontId="21" fillId="3" borderId="0" xfId="0" applyNumberFormat="1" applyFont="1" applyFill="1" applyBorder="1" applyAlignment="1">
      <alignment/>
    </xf>
    <xf numFmtId="2" fontId="1" fillId="4" borderId="11" xfId="0" applyNumberFormat="1" applyFont="1" applyFill="1" applyBorder="1" applyAlignment="1" applyProtection="1">
      <alignment/>
      <protection/>
    </xf>
    <xf numFmtId="0" fontId="0" fillId="3" borderId="0" xfId="0" applyNumberFormat="1" applyFill="1" applyAlignment="1">
      <alignment/>
    </xf>
    <xf numFmtId="179" fontId="0" fillId="6" borderId="1" xfId="0" applyNumberFormat="1" applyFill="1" applyBorder="1" applyAlignment="1" applyProtection="1">
      <alignment/>
      <protection/>
    </xf>
    <xf numFmtId="0" fontId="0" fillId="6" borderId="1" xfId="0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29" fillId="6" borderId="0" xfId="0" applyFont="1" applyFill="1" applyAlignment="1">
      <alignment/>
    </xf>
    <xf numFmtId="0" fontId="30" fillId="6" borderId="0" xfId="0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32" fillId="6" borderId="0" xfId="0" applyFont="1" applyFill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Alignment="1" quotePrefix="1">
      <alignment/>
    </xf>
    <xf numFmtId="0" fontId="33" fillId="6" borderId="0" xfId="0" applyNumberFormat="1" applyFont="1" applyFill="1" applyAlignment="1" quotePrefix="1">
      <alignment horizontal="right"/>
    </xf>
    <xf numFmtId="0" fontId="5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/>
    </xf>
    <xf numFmtId="0" fontId="5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/>
    </xf>
    <xf numFmtId="0" fontId="5" fillId="6" borderId="31" xfId="0" applyFont="1" applyFill="1" applyBorder="1" applyAlignment="1">
      <alignment/>
    </xf>
    <xf numFmtId="0" fontId="1" fillId="6" borderId="32" xfId="0" applyFont="1" applyFill="1" applyBorder="1" applyAlignment="1">
      <alignment/>
    </xf>
    <xf numFmtId="0" fontId="5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/>
    </xf>
    <xf numFmtId="0" fontId="34" fillId="3" borderId="0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1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/>
    </xf>
    <xf numFmtId="185" fontId="21" fillId="3" borderId="0" xfId="0" applyNumberFormat="1" applyFont="1" applyFill="1" applyBorder="1" applyAlignment="1" quotePrefix="1">
      <alignment horizontal="right"/>
    </xf>
    <xf numFmtId="185" fontId="28" fillId="3" borderId="0" xfId="0" applyNumberFormat="1" applyFont="1" applyFill="1" applyBorder="1" applyAlignment="1" quotePrefix="1">
      <alignment horizontal="right"/>
    </xf>
    <xf numFmtId="185" fontId="21" fillId="3" borderId="0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5" fillId="3" borderId="0" xfId="0" applyFont="1" applyFill="1" applyBorder="1" applyAlignment="1" applyProtection="1">
      <alignment horizontal="left"/>
      <protection locked="0"/>
    </xf>
    <xf numFmtId="0" fontId="21" fillId="3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8</xdr:col>
      <xdr:colOff>504825</xdr:colOff>
      <xdr:row>22</xdr:row>
      <xdr:rowOff>19050</xdr:rowOff>
    </xdr:to>
    <xdr:pic>
      <xdr:nvPicPr>
        <xdr:cNvPr id="1" name="Bild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28700"/>
          <a:ext cx="5905500" cy="2771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" width="1.421875" style="86" customWidth="1"/>
    <col min="2" max="16384" width="11.57421875" style="86" customWidth="1"/>
  </cols>
  <sheetData>
    <row r="2" ht="12.75">
      <c r="B2" s="196" t="s">
        <v>197</v>
      </c>
    </row>
    <row r="3" ht="30">
      <c r="B3" s="197" t="s">
        <v>198</v>
      </c>
    </row>
    <row r="4" ht="12.75">
      <c r="B4" s="198" t="s">
        <v>199</v>
      </c>
    </row>
    <row r="6" ht="12.75">
      <c r="H6" s="87"/>
    </row>
    <row r="7" ht="12.75">
      <c r="H7" s="199"/>
    </row>
    <row r="8" ht="12.75">
      <c r="H8" s="199"/>
    </row>
    <row r="9" ht="12.75">
      <c r="H9" s="199"/>
    </row>
    <row r="10" ht="12.75">
      <c r="H10" s="199"/>
    </row>
    <row r="11" ht="12.75"/>
    <row r="12" ht="12.75"/>
    <row r="13" ht="12.75"/>
    <row r="14" ht="12.75"/>
    <row r="15" spans="2:4" ht="12.75">
      <c r="B15" s="200" t="s">
        <v>200</v>
      </c>
      <c r="C15" s="198"/>
      <c r="D15" s="201" t="s">
        <v>201</v>
      </c>
    </row>
    <row r="16" spans="2:4" ht="12.75">
      <c r="B16" s="198"/>
      <c r="C16" s="198"/>
      <c r="D16" s="198" t="s">
        <v>202</v>
      </c>
    </row>
    <row r="17" spans="2:4" ht="12.75">
      <c r="B17" s="198"/>
      <c r="C17" s="198"/>
      <c r="D17" s="198"/>
    </row>
    <row r="18" spans="2:4" ht="12.75">
      <c r="B18" s="198"/>
      <c r="C18" s="198"/>
      <c r="D18" s="201" t="s">
        <v>203</v>
      </c>
    </row>
    <row r="19" spans="2:4" ht="12.75">
      <c r="B19" s="198"/>
      <c r="C19" s="198"/>
      <c r="D19" s="198" t="s">
        <v>204</v>
      </c>
    </row>
    <row r="20" spans="2:4" ht="12.75">
      <c r="B20" s="198"/>
      <c r="C20" s="198"/>
      <c r="D20" s="198"/>
    </row>
    <row r="21" spans="2:4" ht="12.75">
      <c r="B21" s="200"/>
      <c r="C21" s="198"/>
      <c r="D21" s="201" t="s">
        <v>205</v>
      </c>
    </row>
    <row r="22" spans="2:4" ht="12.75">
      <c r="B22" s="198"/>
      <c r="C22" s="198"/>
      <c r="D22" s="198" t="s">
        <v>204</v>
      </c>
    </row>
    <row r="23" ht="12.75"/>
    <row r="24" spans="2:5" ht="12.75">
      <c r="B24" s="200" t="s">
        <v>206</v>
      </c>
      <c r="C24" s="202"/>
      <c r="D24" s="203" t="s">
        <v>207</v>
      </c>
      <c r="E24" s="204" t="s">
        <v>217</v>
      </c>
    </row>
    <row r="28" spans="2:8" ht="12.75">
      <c r="B28" s="205"/>
      <c r="C28" s="206"/>
      <c r="D28" s="206"/>
      <c r="E28" s="207" t="s">
        <v>159</v>
      </c>
      <c r="F28" s="206"/>
      <c r="G28" s="206"/>
      <c r="H28" s="208"/>
    </row>
    <row r="29" spans="2:8" ht="12.75">
      <c r="B29" s="209"/>
      <c r="C29" s="210"/>
      <c r="D29" s="210"/>
      <c r="E29" s="211" t="s">
        <v>160</v>
      </c>
      <c r="F29" s="210"/>
      <c r="G29" s="210"/>
      <c r="H29" s="212"/>
    </row>
  </sheetData>
  <sheetProtection password="D70C"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BD405"/>
  <sheetViews>
    <sheetView tabSelected="1" zoomScale="75" zoomScaleNormal="75" workbookViewId="0" topLeftCell="A1">
      <selection activeCell="C2" sqref="C2:D2"/>
    </sheetView>
  </sheetViews>
  <sheetFormatPr defaultColWidth="11.421875" defaultRowHeight="12.75"/>
  <cols>
    <col min="1" max="1" width="2.7109375" style="86" customWidth="1"/>
    <col min="2" max="2" width="11.421875" style="86" customWidth="1"/>
    <col min="3" max="3" width="16.28125" style="86" customWidth="1"/>
    <col min="4" max="4" width="11.57421875" style="86" customWidth="1"/>
    <col min="5" max="5" width="13.7109375" style="86" customWidth="1"/>
    <col min="6" max="6" width="5.57421875" style="86" customWidth="1"/>
    <col min="7" max="7" width="1.28515625" style="86" customWidth="1"/>
    <col min="8" max="8" width="11.421875" style="86" customWidth="1"/>
    <col min="9" max="9" width="20.8515625" style="86" customWidth="1"/>
    <col min="10" max="10" width="8.7109375" style="86" customWidth="1"/>
    <col min="11" max="11" width="14.140625" style="86" customWidth="1"/>
    <col min="12" max="12" width="0.85546875" style="86" customWidth="1"/>
    <col min="13" max="13" width="38.00390625" style="86" customWidth="1"/>
    <col min="14" max="16384" width="11.421875" style="86" customWidth="1"/>
  </cols>
  <sheetData>
    <row r="1" spans="2:21" s="89" customFormat="1" ht="27" customHeight="1">
      <c r="B1" s="88" t="s">
        <v>54</v>
      </c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1" s="89" customFormat="1" ht="24.75" customHeight="1">
      <c r="B2" s="135" t="s">
        <v>148</v>
      </c>
      <c r="C2" s="227"/>
      <c r="D2" s="227"/>
      <c r="E2" s="86"/>
      <c r="F2" s="86"/>
      <c r="G2" s="86"/>
      <c r="H2" s="86"/>
      <c r="I2" s="86"/>
      <c r="J2" s="86"/>
      <c r="K2" s="86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2:21" ht="9.75" customHeight="1"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2:21" ht="15.75">
      <c r="B4" s="92" t="s">
        <v>153</v>
      </c>
      <c r="H4" s="93" t="s">
        <v>1</v>
      </c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8:21" ht="15.75" customHeight="1">
      <c r="H5" s="87"/>
      <c r="J5" s="87">
        <f>IF(dt&lt;&gt;"",IF(Fluid=1,"",IF(OR(INDEX(Daten!H12:H16,H6-1,1)&gt;=INDEX(Daten!K12:K22,J6,1),TR-0.5&lt;=INDEX(Daten!H12:H16,H6-1,1)),"Frostwarnung!","")),"")</f>
      </c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2:21" ht="15" customHeight="1">
      <c r="B6" s="94" t="s">
        <v>55</v>
      </c>
      <c r="C6" s="95"/>
      <c r="D6" s="2"/>
      <c r="E6" s="96" t="s">
        <v>2</v>
      </c>
      <c r="H6" s="97">
        <v>2</v>
      </c>
      <c r="I6" s="97"/>
      <c r="J6" s="98">
        <v>4</v>
      </c>
      <c r="K6" s="99"/>
      <c r="L6" s="100"/>
      <c r="M6" s="91"/>
      <c r="N6" s="91"/>
      <c r="O6" s="91"/>
      <c r="P6" s="91"/>
      <c r="Q6" s="91"/>
      <c r="R6" s="91"/>
      <c r="S6" s="91"/>
      <c r="T6" s="91"/>
      <c r="U6" s="91"/>
    </row>
    <row r="7" spans="2:21" ht="15.75" customHeight="1">
      <c r="B7" s="94" t="s">
        <v>59</v>
      </c>
      <c r="C7" s="95"/>
      <c r="D7" s="1"/>
      <c r="E7" s="96" t="s">
        <v>2</v>
      </c>
      <c r="H7" s="94" t="s">
        <v>5</v>
      </c>
      <c r="I7" s="96"/>
      <c r="J7" s="101">
        <f>INDEX(Daten!C11:C17,H6,1)</f>
        <v>1000</v>
      </c>
      <c r="K7" s="96" t="s">
        <v>86</v>
      </c>
      <c r="L7" s="102"/>
      <c r="Q7" s="103"/>
      <c r="R7" s="91"/>
      <c r="S7" s="91"/>
      <c r="T7" s="91"/>
      <c r="U7" s="91"/>
    </row>
    <row r="8" spans="2:21" ht="15.75" customHeight="1">
      <c r="B8" s="94" t="s">
        <v>68</v>
      </c>
      <c r="C8" s="56"/>
      <c r="D8" s="64"/>
      <c r="E8" s="104" t="s">
        <v>2</v>
      </c>
      <c r="H8" s="94" t="s">
        <v>85</v>
      </c>
      <c r="I8" s="96"/>
      <c r="J8" s="101">
        <f>INDEX(Daten!L12:L22,J6,1)*1000000</f>
        <v>1.6039999999999999</v>
      </c>
      <c r="K8" s="96" t="s">
        <v>87</v>
      </c>
      <c r="L8" s="100"/>
      <c r="Q8" s="103"/>
      <c r="R8" s="91"/>
      <c r="S8" s="91"/>
      <c r="T8" s="91"/>
      <c r="U8" s="91"/>
    </row>
    <row r="9" spans="2:21" ht="15.75" customHeight="1">
      <c r="B9" s="94" t="s">
        <v>58</v>
      </c>
      <c r="C9" s="95"/>
      <c r="D9" s="112">
        <f>SUM(D6:D8)</f>
        <v>0</v>
      </c>
      <c r="E9" s="104" t="s">
        <v>2</v>
      </c>
      <c r="H9" s="94" t="s">
        <v>7</v>
      </c>
      <c r="I9" s="96"/>
      <c r="J9" s="101">
        <f>INDEX(Daten!G11:G17,H6,1)</f>
        <v>4.22</v>
      </c>
      <c r="K9" s="96" t="s">
        <v>8</v>
      </c>
      <c r="L9" s="91"/>
      <c r="Q9" s="103"/>
      <c r="R9" s="91"/>
      <c r="S9" s="91"/>
      <c r="T9" s="91"/>
      <c r="U9" s="91"/>
    </row>
    <row r="10" spans="2:21" ht="15.75" customHeight="1">
      <c r="B10" s="94" t="s">
        <v>65</v>
      </c>
      <c r="C10" s="95"/>
      <c r="D10" s="106">
        <v>1</v>
      </c>
      <c r="E10" s="107"/>
      <c r="H10" s="94" t="s">
        <v>81</v>
      </c>
      <c r="I10" s="96"/>
      <c r="J10" s="101">
        <f>INDEX(Daten!H11:H17,H6,1)</f>
        <v>0</v>
      </c>
      <c r="K10" s="96" t="s">
        <v>32</v>
      </c>
      <c r="Q10" s="108"/>
      <c r="R10" s="91"/>
      <c r="S10" s="91"/>
      <c r="T10" s="91"/>
      <c r="U10" s="91"/>
    </row>
    <row r="11" spans="2:21" ht="15.75" customHeight="1">
      <c r="B11" s="94" t="s">
        <v>62</v>
      </c>
      <c r="C11" s="95"/>
      <c r="D11" s="2"/>
      <c r="E11" s="96" t="s">
        <v>32</v>
      </c>
      <c r="H11" s="109" t="s">
        <v>141</v>
      </c>
      <c r="I11" s="110"/>
      <c r="J11" s="111">
        <f>alpha</f>
        <v>0</v>
      </c>
      <c r="K11" s="110" t="s">
        <v>142</v>
      </c>
      <c r="Q11" s="103"/>
      <c r="R11" s="91"/>
      <c r="S11" s="91"/>
      <c r="T11" s="91"/>
      <c r="U11" s="91"/>
    </row>
    <row r="12" spans="2:21" ht="15.75" customHeight="1">
      <c r="B12" s="94" t="s">
        <v>66</v>
      </c>
      <c r="C12" s="95"/>
      <c r="D12" s="64"/>
      <c r="E12" s="104" t="s">
        <v>67</v>
      </c>
      <c r="Q12" s="103"/>
      <c r="R12" s="91"/>
      <c r="S12" s="91"/>
      <c r="T12" s="91"/>
      <c r="U12" s="91"/>
    </row>
    <row r="13" spans="2:21" ht="15.75" customHeight="1">
      <c r="B13" s="94" t="s">
        <v>63</v>
      </c>
      <c r="C13" s="95"/>
      <c r="D13" s="112">
        <f>IF(H&lt;&gt;"",(INDEX(Daten!C32:C35,D10,1))+D11+H/2*(0.035),"")</f>
      </c>
      <c r="E13" s="104" t="s">
        <v>32</v>
      </c>
      <c r="H13" s="195" t="s">
        <v>195</v>
      </c>
      <c r="Q13" s="103"/>
      <c r="R13" s="91"/>
      <c r="S13" s="91"/>
      <c r="T13" s="91"/>
      <c r="U13" s="91"/>
    </row>
    <row r="14" spans="2:21" ht="15.75" customHeight="1">
      <c r="B14" s="113"/>
      <c r="C14" s="113"/>
      <c r="E14" s="113"/>
      <c r="H14" s="93"/>
      <c r="L14" s="114"/>
      <c r="Q14" s="103"/>
      <c r="R14" s="91"/>
      <c r="S14" s="91"/>
      <c r="T14" s="91"/>
      <c r="U14" s="91"/>
    </row>
    <row r="15" spans="2:21" ht="15.75" customHeight="1">
      <c r="B15" s="93" t="s">
        <v>56</v>
      </c>
      <c r="H15" s="194" t="s">
        <v>186</v>
      </c>
      <c r="I15" s="95"/>
      <c r="J15" s="2"/>
      <c r="K15" s="96" t="s">
        <v>17</v>
      </c>
      <c r="L15" s="91"/>
      <c r="Q15" s="103"/>
      <c r="R15" s="91"/>
      <c r="S15" s="91"/>
      <c r="T15" s="91"/>
      <c r="U15" s="91"/>
    </row>
    <row r="16" spans="2:21" ht="15.75" customHeight="1">
      <c r="B16" s="93"/>
      <c r="C16" s="87">
        <f>IF(AND(OR(Qh&lt;(D9*0.75),Qh&gt;(D9*1.25)),Qh&lt;&gt;"",Qh&lt;&gt;0),"Wärmepumpenleistung überprüfen!","")</f>
      </c>
      <c r="H16" s="94" t="s">
        <v>187</v>
      </c>
      <c r="I16" s="95"/>
      <c r="J16" s="2"/>
      <c r="K16" s="96" t="s">
        <v>18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</row>
    <row r="17" spans="2:21" ht="15.75" customHeight="1">
      <c r="B17" s="94" t="s">
        <v>92</v>
      </c>
      <c r="C17" s="57"/>
      <c r="D17" s="115" t="s">
        <v>93</v>
      </c>
      <c r="E17" s="55"/>
      <c r="F17" s="116"/>
      <c r="H17" s="194" t="s">
        <v>188</v>
      </c>
      <c r="I17" s="95"/>
      <c r="J17" s="2"/>
      <c r="K17" s="96" t="s">
        <v>17</v>
      </c>
      <c r="L17" s="91"/>
      <c r="P17" s="91"/>
      <c r="Q17" s="91"/>
      <c r="R17" s="91"/>
      <c r="S17" s="91"/>
      <c r="T17" s="91"/>
      <c r="U17" s="91"/>
    </row>
    <row r="18" spans="2:21" ht="15.75" customHeight="1">
      <c r="B18" s="94" t="s">
        <v>60</v>
      </c>
      <c r="C18" s="95"/>
      <c r="D18" s="2"/>
      <c r="E18" s="96" t="s">
        <v>2</v>
      </c>
      <c r="F18" s="116"/>
      <c r="H18" s="94" t="s">
        <v>189</v>
      </c>
      <c r="I18" s="95"/>
      <c r="J18" s="2"/>
      <c r="K18" s="96" t="s">
        <v>18</v>
      </c>
      <c r="P18" s="91"/>
      <c r="Q18" s="91"/>
      <c r="R18" s="91"/>
      <c r="S18" s="91"/>
      <c r="T18" s="91"/>
      <c r="U18" s="91"/>
    </row>
    <row r="19" spans="2:21" ht="15.75" customHeight="1">
      <c r="B19" s="94" t="s">
        <v>3</v>
      </c>
      <c r="C19" s="95"/>
      <c r="D19" s="2"/>
      <c r="E19" s="117" t="s">
        <v>4</v>
      </c>
      <c r="F19" s="116"/>
      <c r="H19" s="194" t="s">
        <v>190</v>
      </c>
      <c r="I19" s="95"/>
      <c r="J19" s="2"/>
      <c r="K19" s="96" t="s">
        <v>17</v>
      </c>
      <c r="P19" s="91"/>
      <c r="Q19" s="91"/>
      <c r="R19" s="91"/>
      <c r="S19" s="91"/>
      <c r="T19" s="91"/>
      <c r="U19" s="91"/>
    </row>
    <row r="20" spans="2:21" ht="15.75" customHeight="1">
      <c r="B20" s="94" t="s">
        <v>88</v>
      </c>
      <c r="C20" s="95"/>
      <c r="D20" s="2"/>
      <c r="E20" s="96" t="s">
        <v>17</v>
      </c>
      <c r="F20" s="118"/>
      <c r="H20" s="194" t="s">
        <v>191</v>
      </c>
      <c r="I20" s="95"/>
      <c r="J20" s="2"/>
      <c r="K20" s="96" t="s">
        <v>18</v>
      </c>
      <c r="M20" s="91"/>
      <c r="N20" s="91"/>
      <c r="O20" s="91"/>
      <c r="P20" s="91"/>
      <c r="Q20" s="91"/>
      <c r="R20" s="91"/>
      <c r="S20" s="91"/>
      <c r="T20" s="91"/>
      <c r="U20" s="91"/>
    </row>
    <row r="21" spans="2:21" ht="15.75" customHeight="1">
      <c r="B21" s="94" t="s">
        <v>164</v>
      </c>
      <c r="C21" s="95"/>
      <c r="D21" s="2"/>
      <c r="E21" s="104" t="s">
        <v>18</v>
      </c>
      <c r="H21" s="94" t="s">
        <v>192</v>
      </c>
      <c r="I21" s="95"/>
      <c r="J21" s="2"/>
      <c r="K21" s="104" t="s">
        <v>91</v>
      </c>
      <c r="M21" s="91"/>
      <c r="N21" s="91"/>
      <c r="O21" s="91"/>
      <c r="P21" s="91"/>
      <c r="Q21" s="91"/>
      <c r="R21" s="91"/>
      <c r="S21" s="91"/>
      <c r="T21" s="91"/>
      <c r="U21" s="91"/>
    </row>
    <row r="22" spans="2:21" ht="15.75" customHeight="1">
      <c r="B22" s="94" t="s">
        <v>116</v>
      </c>
      <c r="C22" s="95"/>
      <c r="D22" s="106">
        <v>2</v>
      </c>
      <c r="E22" s="119"/>
      <c r="H22" s="194" t="s">
        <v>193</v>
      </c>
      <c r="I22" s="95"/>
      <c r="J22" s="2"/>
      <c r="K22" s="120" t="s">
        <v>11</v>
      </c>
      <c r="M22" s="91"/>
      <c r="N22" s="91"/>
      <c r="O22" s="91"/>
      <c r="P22" s="91"/>
      <c r="Q22" s="91"/>
      <c r="R22" s="91"/>
      <c r="S22" s="91"/>
      <c r="T22" s="91"/>
      <c r="U22" s="91"/>
    </row>
    <row r="23" spans="2:21" ht="15.75" customHeight="1">
      <c r="B23" s="94" t="s">
        <v>57</v>
      </c>
      <c r="C23" s="95"/>
      <c r="D23" s="112">
        <f>IF(Qh&gt;0,IF(COP&gt;0,(Qh/COP),Qh),"")</f>
      </c>
      <c r="E23" s="104" t="s">
        <v>2</v>
      </c>
      <c r="H23" s="94" t="s">
        <v>213</v>
      </c>
      <c r="I23" s="96"/>
      <c r="J23" s="97">
        <v>1</v>
      </c>
      <c r="K23" s="96"/>
      <c r="M23" s="91"/>
      <c r="N23" s="91"/>
      <c r="O23" s="91"/>
      <c r="P23" s="91"/>
      <c r="Q23" s="91"/>
      <c r="R23" s="91"/>
      <c r="S23" s="91"/>
      <c r="T23" s="91"/>
      <c r="U23" s="91"/>
    </row>
    <row r="24" spans="2:21" ht="15.75" customHeight="1">
      <c r="B24" s="94" t="s">
        <v>167</v>
      </c>
      <c r="C24" s="95"/>
      <c r="D24" s="105">
        <f>IF(dt&gt;0,IF(COP&gt;0,Qh*(1-1/COP)/cp/dt*3600,""),"")</f>
      </c>
      <c r="E24" s="104" t="s">
        <v>18</v>
      </c>
      <c r="H24" s="94" t="s">
        <v>210</v>
      </c>
      <c r="I24" s="95"/>
      <c r="J24" s="2"/>
      <c r="K24" s="96" t="s">
        <v>90</v>
      </c>
      <c r="M24" s="91"/>
      <c r="N24" s="91"/>
      <c r="O24" s="91"/>
      <c r="P24" s="91"/>
      <c r="Q24" s="91"/>
      <c r="R24" s="91"/>
      <c r="S24" s="91"/>
      <c r="T24" s="91"/>
      <c r="U24" s="91"/>
    </row>
    <row r="25" spans="2:21" ht="15.75" customHeight="1">
      <c r="B25" s="87">
        <f>IF(Daten!G40&gt;15," hoher Druckabfall im Verdampfer!","")</f>
      </c>
      <c r="D25" s="121">
        <f>IF(AND(qspez&lt;&gt;"",dt&lt;&gt;""),IF((D24/3600)&gt;(1.3*(Qe/qspez)/(2*cp*ra))," Massenstrom zu gross!",""),"")</f>
      </c>
      <c r="F25" s="113"/>
      <c r="H25" s="94" t="s">
        <v>211</v>
      </c>
      <c r="I25" s="95"/>
      <c r="J25" s="2"/>
      <c r="K25" s="96" t="s">
        <v>90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21" ht="15.75" customHeight="1">
      <c r="B26" s="93" t="s">
        <v>9</v>
      </c>
      <c r="D26" s="122" t="s">
        <v>161</v>
      </c>
      <c r="E26" s="123"/>
      <c r="F26" s="113"/>
      <c r="H26" s="94" t="s">
        <v>194</v>
      </c>
      <c r="I26" s="95"/>
      <c r="J26" s="2"/>
      <c r="K26" s="96" t="s">
        <v>4</v>
      </c>
      <c r="M26" s="91"/>
      <c r="N26" s="91"/>
      <c r="O26" s="91"/>
      <c r="P26" s="91"/>
      <c r="Q26" s="91"/>
      <c r="R26" s="91"/>
      <c r="S26" s="91"/>
      <c r="T26" s="91"/>
      <c r="U26" s="91"/>
    </row>
    <row r="27" spans="2:21" ht="15" customHeight="1">
      <c r="B27" s="87">
        <f>IF(AND(D29&gt;0,D28&gt;0),"doppelte Eingabe!   Spez. Sondenleistung löschen!",IF(qspez="","",IF(qspez&gt;(1.1*qspezmax),"sehr grosse Sondenbelastung!",IF(qspez&gt;qspezmax,"grosse Sondenbelastung!",""))))</f>
      </c>
      <c r="D27" s="87"/>
      <c r="E27" s="87"/>
      <c r="H27" s="94" t="s">
        <v>196</v>
      </c>
      <c r="I27" s="96"/>
      <c r="J27" s="97">
        <v>1</v>
      </c>
      <c r="K27" s="96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21" ht="15.75" customHeight="1">
      <c r="B28" s="101" t="s">
        <v>208</v>
      </c>
      <c r="C28" s="125"/>
      <c r="D28" s="2"/>
      <c r="E28" s="27">
        <f>IF(AND(D28=0,D29=0),"",IF(D28=0,(IF(COP&gt;0,IF(Qh&gt;0,Qh*(1-1/COP),0),D20))*1000/AnzahlSonden/H,D28))</f>
      </c>
      <c r="F28" s="86" t="s">
        <v>10</v>
      </c>
      <c r="G28" s="126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2:21" ht="15.75" customHeight="1">
      <c r="B29" s="101" t="s">
        <v>79</v>
      </c>
      <c r="C29" s="125"/>
      <c r="D29" s="2"/>
      <c r="E29" s="27">
        <f>IF(AND(D28=0,D29=0),"",IF(D29=0,Qh*1000*(1-1/COP)/(qspez*AnzahlSonden),D29))</f>
      </c>
      <c r="F29" s="86" t="s">
        <v>11</v>
      </c>
      <c r="H29" s="124" t="s">
        <v>154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2:21" ht="15.75" customHeight="1">
      <c r="B30" s="101" t="s">
        <v>13</v>
      </c>
      <c r="C30" s="96"/>
      <c r="D30" s="2"/>
      <c r="E30" s="165">
        <f>IF(D30&gt;0,D30,1)</f>
        <v>1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21" ht="15.75" customHeight="1">
      <c r="B31" s="101" t="s">
        <v>176</v>
      </c>
      <c r="C31" s="125"/>
      <c r="D31" s="1"/>
      <c r="E31" s="127" t="s">
        <v>14</v>
      </c>
      <c r="G31" s="91"/>
      <c r="H31" s="94" t="s">
        <v>92</v>
      </c>
      <c r="I31" s="57"/>
      <c r="J31" s="115" t="s">
        <v>93</v>
      </c>
      <c r="K31" s="55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21" ht="15.75" customHeight="1">
      <c r="B32" s="101" t="s">
        <v>80</v>
      </c>
      <c r="C32" s="125"/>
      <c r="D32" s="1"/>
      <c r="E32" s="127" t="s">
        <v>74</v>
      </c>
      <c r="G32" s="91"/>
      <c r="H32" s="128" t="s">
        <v>19</v>
      </c>
      <c r="I32" s="110"/>
      <c r="J32" s="191">
        <f>IF(dt&lt;&gt;"",D41+pext,"")</f>
      </c>
      <c r="K32" s="110" t="s">
        <v>17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 ht="15.75" customHeight="1">
      <c r="B33" s="101" t="s">
        <v>15</v>
      </c>
      <c r="C33" s="125"/>
      <c r="D33" s="129">
        <v>2</v>
      </c>
      <c r="E33" s="129"/>
      <c r="G33" s="91"/>
      <c r="H33" s="109"/>
      <c r="I33" s="110"/>
      <c r="J33" s="130">
        <f>IF(dt&lt;&gt;"",IF(rho&gt;0,J32*1000/(rho*9.81),0),"")</f>
      </c>
      <c r="K33" s="110" t="s">
        <v>11</v>
      </c>
      <c r="L33" s="131"/>
      <c r="N33" s="91"/>
      <c r="O33" s="91"/>
      <c r="P33" s="91"/>
      <c r="Q33" s="91"/>
      <c r="R33" s="91"/>
      <c r="S33" s="91"/>
      <c r="T33" s="91"/>
      <c r="U33" s="91"/>
    </row>
    <row r="34" spans="2:21" ht="15.75" customHeight="1">
      <c r="B34" s="132"/>
      <c r="C34" s="103"/>
      <c r="D34" s="133"/>
      <c r="E34" s="103"/>
      <c r="F34" s="91"/>
      <c r="G34" s="91"/>
      <c r="H34" s="128" t="s">
        <v>129</v>
      </c>
      <c r="I34" s="110"/>
      <c r="J34" s="134">
        <f>IF(dt&lt;&gt;"",J35/3600,"")</f>
      </c>
      <c r="K34" s="110" t="s">
        <v>130</v>
      </c>
      <c r="L34" s="131"/>
      <c r="M34" s="91"/>
      <c r="N34" s="91"/>
      <c r="O34" s="91"/>
      <c r="P34" s="91"/>
      <c r="Q34" s="91"/>
      <c r="R34" s="91"/>
      <c r="S34" s="91"/>
      <c r="T34" s="91"/>
      <c r="U34" s="91"/>
    </row>
    <row r="35" spans="2:21" ht="15.75" customHeight="1">
      <c r="B35" s="135" t="s">
        <v>178</v>
      </c>
      <c r="C35" s="103"/>
      <c r="D35" s="103"/>
      <c r="E35" s="103"/>
      <c r="F35" s="91"/>
      <c r="G35" s="91"/>
      <c r="H35" s="109"/>
      <c r="I35" s="110"/>
      <c r="J35" s="130">
        <f>IF(dt&lt;&gt;"",IF(rho&gt;0,$D$24/rho,0),"")</f>
      </c>
      <c r="K35" s="110" t="s">
        <v>108</v>
      </c>
      <c r="L35" s="131"/>
      <c r="M35" s="91"/>
      <c r="N35" s="91"/>
      <c r="O35" s="91"/>
      <c r="P35" s="91"/>
      <c r="Q35" s="91"/>
      <c r="R35" s="91"/>
      <c r="S35" s="91"/>
      <c r="T35" s="91"/>
      <c r="U35" s="91"/>
    </row>
    <row r="36" spans="2:21" ht="15.75" customHeight="1">
      <c r="B36" s="131">
        <f>IF(dt&lt;&gt;"",IF(AND(D38&gt;0.55,re&gt;3000),"grosse Fliessgeschwindigkeit!",""),"")</f>
      </c>
      <c r="C36" s="103"/>
      <c r="D36" s="103"/>
      <c r="E36" s="103"/>
      <c r="F36" s="91"/>
      <c r="G36" s="91"/>
      <c r="H36" s="109" t="s">
        <v>132</v>
      </c>
      <c r="I36" s="110"/>
      <c r="J36" s="136">
        <f>IF(dt&lt;&gt;"",J32*1000*J34,"")</f>
      </c>
      <c r="K36" s="110" t="s">
        <v>20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 ht="15.75" customHeight="1">
      <c r="B37" s="109" t="s">
        <v>179</v>
      </c>
      <c r="C37" s="110"/>
      <c r="D37" s="111">
        <f>IF(dt&lt;&gt;"",IF(Fluid=1,"",$D$24/2/AnzahlSonden),"")</f>
      </c>
      <c r="E37" s="110" t="s">
        <v>18</v>
      </c>
      <c r="F37" s="91"/>
      <c r="G37" s="91"/>
      <c r="H37" s="109" t="s">
        <v>131</v>
      </c>
      <c r="I37" s="110"/>
      <c r="J37" s="1"/>
      <c r="K37" s="166">
        <f>IF(AND(J38="",J37=""),"",IF(J37="",J36/J38*100,J37))</f>
      </c>
      <c r="L37" s="137" t="s">
        <v>105</v>
      </c>
      <c r="M37" s="91"/>
      <c r="N37" s="91"/>
      <c r="O37" s="91"/>
      <c r="P37" s="91"/>
      <c r="Q37" s="91"/>
      <c r="R37" s="91"/>
      <c r="S37" s="91"/>
      <c r="T37" s="91"/>
      <c r="U37" s="91"/>
    </row>
    <row r="38" spans="2:21" ht="15.75" customHeight="1">
      <c r="B38" s="109" t="s">
        <v>180</v>
      </c>
      <c r="C38" s="110"/>
      <c r="D38" s="138">
        <f>IF(dt&lt;&gt;"",IF(Fluid=1,,mSonde/3600*4/rho/(dinnen)^2/PI()),"")</f>
      </c>
      <c r="E38" s="110" t="s">
        <v>12</v>
      </c>
      <c r="F38" s="91"/>
      <c r="G38" s="91"/>
      <c r="H38" s="139" t="s">
        <v>152</v>
      </c>
      <c r="I38" s="110"/>
      <c r="J38" s="1"/>
      <c r="K38" s="167">
        <f>IF(AND(J37="",J38=""),"",IF(J38="",J36/J37*100,J38))</f>
      </c>
      <c r="L38" s="91" t="s">
        <v>20</v>
      </c>
      <c r="M38" s="91"/>
      <c r="N38" s="91"/>
      <c r="O38" s="91"/>
      <c r="P38" s="91"/>
      <c r="Q38" s="91"/>
      <c r="R38" s="91"/>
      <c r="S38" s="91"/>
      <c r="T38" s="91"/>
      <c r="U38" s="91"/>
    </row>
    <row r="39" spans="2:21" ht="15.75" customHeight="1">
      <c r="B39" s="109" t="s">
        <v>177</v>
      </c>
      <c r="C39" s="110"/>
      <c r="D39" s="140">
        <f>IF(dt&lt;&gt;"",IF(re&lt;2300,"laminar","turbulent"),"")</f>
      </c>
      <c r="E39" s="141"/>
      <c r="F39" s="91"/>
      <c r="G39" s="91"/>
      <c r="H39" s="131">
        <f>IF(eta&lt;&gt;"",IF(AND(J37&gt;0,J38&gt;0),"doppelte Eingabe! Wirkungsgrad oder Leistungsaufnahme löschen!",IF(eta&lt;20,"schlechter Pumpenwirkungsgrad!",IF(eta&gt;40,"sehr guter Pumpenwirkungsgrad!",""))),"")</f>
      </c>
      <c r="J39" s="13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2:21" ht="15.75" customHeight="1" thickBot="1">
      <c r="B40" s="109" t="s">
        <v>181</v>
      </c>
      <c r="C40" s="110"/>
      <c r="D40" s="193">
        <f>IF(dt&lt;&gt;"",rho/2*wSonde^2/dinnen*Daten!G49,"")</f>
      </c>
      <c r="E40" s="110" t="s">
        <v>16</v>
      </c>
      <c r="G40" s="91"/>
      <c r="H40" s="142" t="s">
        <v>155</v>
      </c>
      <c r="M40" s="91"/>
      <c r="N40" s="91"/>
      <c r="O40" s="91"/>
      <c r="P40" s="91"/>
      <c r="Q40" s="91"/>
      <c r="R40" s="91"/>
      <c r="S40" s="91"/>
      <c r="T40" s="91"/>
      <c r="U40" s="91"/>
    </row>
    <row r="41" spans="2:21" ht="15.75" customHeight="1" thickBot="1">
      <c r="B41" s="109" t="s">
        <v>182</v>
      </c>
      <c r="C41" s="110"/>
      <c r="D41" s="138">
        <f>IF(dt&lt;&gt;"",D40*2*H/1000,"")</f>
      </c>
      <c r="E41" s="110" t="s">
        <v>17</v>
      </c>
      <c r="F41" s="143"/>
      <c r="G41" s="91"/>
      <c r="H41" s="85" t="s">
        <v>158</v>
      </c>
      <c r="I41" s="82"/>
      <c r="J41" s="83">
        <f>IF(K38&lt;&gt;"",K38/(K38+D23*1000)*100,0)</f>
        <v>0</v>
      </c>
      <c r="K41" s="84" t="s">
        <v>105</v>
      </c>
      <c r="L41" s="144"/>
      <c r="M41" s="91"/>
      <c r="N41" s="91"/>
      <c r="O41" s="91"/>
      <c r="P41" s="91"/>
      <c r="Q41" s="91"/>
      <c r="R41" s="91"/>
      <c r="S41" s="91"/>
      <c r="T41" s="91"/>
      <c r="U41" s="91"/>
    </row>
    <row r="42" spans="2:21" ht="15.75" customHeight="1">
      <c r="B42" s="131"/>
      <c r="D42" s="131"/>
      <c r="E42" s="91"/>
      <c r="F42" s="137"/>
      <c r="G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6:21" ht="15.75" customHeight="1">
      <c r="F43" s="91"/>
      <c r="G43" s="91"/>
      <c r="P43" s="91"/>
      <c r="Q43" s="91"/>
      <c r="R43" s="91"/>
      <c r="S43" s="91"/>
      <c r="T43" s="91"/>
      <c r="U43" s="91"/>
    </row>
    <row r="44" spans="2:21" ht="15.7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P44" s="91"/>
      <c r="Q44" s="91"/>
      <c r="R44" s="91"/>
      <c r="S44" s="91"/>
      <c r="T44" s="91"/>
      <c r="U44" s="91"/>
    </row>
    <row r="45" spans="2:21" ht="15.75" customHeight="1">
      <c r="B45" s="168"/>
      <c r="C45" s="169"/>
      <c r="D45" s="169"/>
      <c r="E45" s="170"/>
      <c r="F45" s="171" t="s">
        <v>159</v>
      </c>
      <c r="G45" s="169"/>
      <c r="H45" s="172"/>
      <c r="I45" s="173"/>
      <c r="J45" s="174"/>
      <c r="K45" s="175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2:21" ht="15.75" customHeight="1">
      <c r="B46" s="176"/>
      <c r="C46" s="177"/>
      <c r="D46" s="177"/>
      <c r="E46" s="178"/>
      <c r="F46" s="179" t="s">
        <v>160</v>
      </c>
      <c r="G46" s="177"/>
      <c r="H46" s="180"/>
      <c r="I46" s="181"/>
      <c r="J46" s="182"/>
      <c r="K46" s="183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2:21" ht="12.75">
      <c r="B47" s="103"/>
      <c r="C47" s="103"/>
      <c r="D47" s="103"/>
      <c r="E47" s="103"/>
      <c r="F47" s="103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2:21" ht="12.75" hidden="1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91"/>
      <c r="O48" s="91"/>
      <c r="P48" s="91"/>
      <c r="Q48" s="91"/>
      <c r="R48" s="91"/>
      <c r="S48" s="91"/>
      <c r="T48" s="91"/>
      <c r="U48" s="91"/>
    </row>
    <row r="49" spans="2:21" ht="45" hidden="1">
      <c r="B49" s="213" t="str">
        <f>B2</f>
        <v>Objekt:</v>
      </c>
      <c r="C49" s="146"/>
      <c r="D49" s="213">
        <f>IF(C2&lt;&gt;"",C2,"")</f>
      </c>
      <c r="E49" s="146"/>
      <c r="F49" s="146"/>
      <c r="G49" s="146"/>
      <c r="H49" s="146"/>
      <c r="I49" s="146"/>
      <c r="J49" s="146"/>
      <c r="K49" s="146"/>
      <c r="L49" s="146"/>
      <c r="M49" s="146"/>
      <c r="N49" s="91"/>
      <c r="O49" s="91"/>
      <c r="P49" s="91"/>
      <c r="Q49" s="91"/>
      <c r="R49" s="91"/>
      <c r="S49" s="91"/>
      <c r="T49" s="91"/>
      <c r="U49" s="91"/>
    </row>
    <row r="50" spans="2:21" ht="30" hidden="1">
      <c r="B50" s="147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91"/>
      <c r="O50" s="91"/>
      <c r="P50" s="91"/>
      <c r="Q50" s="91"/>
      <c r="R50" s="91"/>
      <c r="S50" s="91"/>
      <c r="T50" s="91"/>
      <c r="U50" s="91"/>
    </row>
    <row r="51" spans="2:21" ht="12.75" hidden="1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91"/>
      <c r="O51" s="91"/>
      <c r="P51" s="91"/>
      <c r="Q51" s="91"/>
      <c r="R51" s="91"/>
      <c r="S51" s="91"/>
      <c r="T51" s="91"/>
      <c r="U51" s="91"/>
    </row>
    <row r="52" spans="2:21" ht="30" hidden="1">
      <c r="B52" s="147" t="str">
        <f>B4</f>
        <v>Gebäude und Standort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91"/>
      <c r="O52" s="91"/>
      <c r="P52" s="91"/>
      <c r="Q52" s="91"/>
      <c r="R52" s="91"/>
      <c r="S52" s="91"/>
      <c r="T52" s="91"/>
      <c r="U52" s="91"/>
    </row>
    <row r="53" spans="2:21" ht="15" hidden="1">
      <c r="B53" s="148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91"/>
      <c r="O53" s="91"/>
      <c r="P53" s="91"/>
      <c r="Q53" s="91"/>
      <c r="R53" s="91"/>
      <c r="S53" s="91"/>
      <c r="T53" s="91"/>
      <c r="U53" s="91"/>
    </row>
    <row r="54" spans="2:21" ht="22.5" hidden="1">
      <c r="B54" s="149" t="s">
        <v>109</v>
      </c>
      <c r="C54" s="149"/>
      <c r="D54" s="150"/>
      <c r="E54" s="150">
        <f>IF(D9="","",D9)</f>
        <v>0</v>
      </c>
      <c r="F54" s="149" t="s">
        <v>2</v>
      </c>
      <c r="G54" s="146"/>
      <c r="H54" s="146"/>
      <c r="I54" s="146"/>
      <c r="J54" s="146"/>
      <c r="K54" s="146"/>
      <c r="L54" s="146"/>
      <c r="M54" s="146"/>
      <c r="N54" s="91"/>
      <c r="O54" s="91"/>
      <c r="P54" s="91"/>
      <c r="Q54" s="91"/>
      <c r="R54" s="91"/>
      <c r="S54" s="91"/>
      <c r="T54" s="91"/>
      <c r="U54" s="91"/>
    </row>
    <row r="55" spans="2:21" ht="20.25" hidden="1">
      <c r="B55" s="151"/>
      <c r="C55" s="151"/>
      <c r="D55" s="152"/>
      <c r="E55" s="152"/>
      <c r="F55" s="151"/>
      <c r="G55" s="146"/>
      <c r="H55" s="146"/>
      <c r="I55" s="146"/>
      <c r="J55" s="146"/>
      <c r="K55" s="146"/>
      <c r="L55" s="146"/>
      <c r="M55" s="146"/>
      <c r="N55" s="91"/>
      <c r="O55" s="91"/>
      <c r="P55" s="91"/>
      <c r="Q55" s="91"/>
      <c r="R55" s="91"/>
      <c r="S55" s="91"/>
      <c r="T55" s="91"/>
      <c r="U55" s="91"/>
    </row>
    <row r="56" spans="2:21" ht="29.25" customHeight="1" hidden="1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91"/>
      <c r="O56" s="91"/>
      <c r="P56" s="91"/>
      <c r="Q56" s="91"/>
      <c r="R56" s="91"/>
      <c r="S56" s="91"/>
      <c r="T56" s="91"/>
      <c r="U56" s="91"/>
    </row>
    <row r="57" spans="2:21" ht="30" hidden="1">
      <c r="B57" s="147" t="s">
        <v>56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91"/>
      <c r="O57" s="91"/>
      <c r="P57" s="91"/>
      <c r="Q57" s="91"/>
      <c r="R57" s="91"/>
      <c r="S57" s="91"/>
      <c r="T57" s="91"/>
      <c r="U57" s="91"/>
    </row>
    <row r="58" spans="2:21" ht="15" hidden="1">
      <c r="B58" s="148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91"/>
      <c r="O58" s="91"/>
      <c r="P58" s="91"/>
      <c r="Q58" s="91"/>
      <c r="R58" s="91"/>
      <c r="S58" s="91"/>
      <c r="T58" s="91"/>
      <c r="U58" s="91"/>
    </row>
    <row r="59" spans="2:21" ht="22.5" hidden="1">
      <c r="B59" s="149" t="s">
        <v>92</v>
      </c>
      <c r="C59" s="149"/>
      <c r="D59" s="149"/>
      <c r="E59" s="153">
        <f>IF(C17="","",C17)</f>
      </c>
      <c r="F59" s="149"/>
      <c r="G59" s="146"/>
      <c r="H59" s="146"/>
      <c r="I59" s="146"/>
      <c r="J59" s="146"/>
      <c r="K59" s="146"/>
      <c r="L59" s="146"/>
      <c r="M59" s="146"/>
      <c r="N59" s="91"/>
      <c r="O59" s="91"/>
      <c r="P59" s="91"/>
      <c r="Q59" s="91"/>
      <c r="R59" s="91"/>
      <c r="S59" s="91"/>
      <c r="T59" s="91"/>
      <c r="U59" s="91"/>
    </row>
    <row r="60" spans="2:21" ht="22.5" hidden="1">
      <c r="B60" s="149" t="s">
        <v>93</v>
      </c>
      <c r="C60" s="149"/>
      <c r="D60" s="149"/>
      <c r="E60" s="154">
        <f>IF(E17="","",E17)</f>
      </c>
      <c r="F60" s="149"/>
      <c r="G60" s="146"/>
      <c r="H60" s="146"/>
      <c r="I60" s="146"/>
      <c r="J60" s="146"/>
      <c r="K60" s="146"/>
      <c r="L60" s="146"/>
      <c r="M60" s="146"/>
      <c r="N60" s="91"/>
      <c r="O60" s="91"/>
      <c r="P60" s="91"/>
      <c r="Q60" s="91"/>
      <c r="R60" s="91"/>
      <c r="S60" s="91"/>
      <c r="T60" s="91"/>
      <c r="U60" s="91"/>
    </row>
    <row r="61" spans="2:21" ht="22.5" hidden="1">
      <c r="B61" s="149" t="s">
        <v>95</v>
      </c>
      <c r="C61" s="149"/>
      <c r="D61" s="149"/>
      <c r="E61" s="154">
        <f>IF(COP="","",COP)</f>
      </c>
      <c r="F61" s="149" t="s">
        <v>4</v>
      </c>
      <c r="G61" s="146"/>
      <c r="H61" s="146"/>
      <c r="I61" s="146"/>
      <c r="J61" s="146"/>
      <c r="K61" s="146"/>
      <c r="L61" s="146"/>
      <c r="M61" s="146"/>
      <c r="N61" s="91"/>
      <c r="O61" s="91"/>
      <c r="P61" s="91"/>
      <c r="Q61" s="91"/>
      <c r="R61" s="91"/>
      <c r="S61" s="91"/>
      <c r="T61" s="91"/>
      <c r="U61" s="91"/>
    </row>
    <row r="62" spans="2:21" ht="22.5" hidden="1">
      <c r="B62" s="149" t="s">
        <v>94</v>
      </c>
      <c r="C62" s="149"/>
      <c r="D62" s="149"/>
      <c r="E62" s="155">
        <f>IF(D23="","",D23)</f>
      </c>
      <c r="F62" s="149" t="s">
        <v>2</v>
      </c>
      <c r="G62" s="146"/>
      <c r="H62" s="146"/>
      <c r="I62" s="146"/>
      <c r="J62" s="146"/>
      <c r="K62" s="146"/>
      <c r="L62" s="146"/>
      <c r="M62" s="146"/>
      <c r="N62" s="91"/>
      <c r="O62" s="91"/>
      <c r="P62" s="91"/>
      <c r="Q62" s="91"/>
      <c r="R62" s="91"/>
      <c r="S62" s="91"/>
      <c r="T62" s="91"/>
      <c r="U62" s="91"/>
    </row>
    <row r="63" spans="2:21" ht="20.25" hidden="1">
      <c r="B63" s="151"/>
      <c r="C63" s="151"/>
      <c r="D63" s="151"/>
      <c r="E63" s="156"/>
      <c r="F63" s="151"/>
      <c r="G63" s="146"/>
      <c r="H63" s="146"/>
      <c r="I63" s="146"/>
      <c r="J63" s="146"/>
      <c r="K63" s="146"/>
      <c r="L63" s="146"/>
      <c r="M63" s="146"/>
      <c r="N63" s="91"/>
      <c r="O63" s="91"/>
      <c r="P63" s="91"/>
      <c r="Q63" s="91"/>
      <c r="R63" s="91"/>
      <c r="S63" s="91"/>
      <c r="T63" s="91"/>
      <c r="U63" s="91"/>
    </row>
    <row r="64" spans="2:21" ht="27.75" customHeight="1" hidden="1">
      <c r="B64" s="148"/>
      <c r="C64" s="148"/>
      <c r="D64" s="148"/>
      <c r="E64" s="148"/>
      <c r="F64" s="146"/>
      <c r="G64" s="146"/>
      <c r="H64" s="146"/>
      <c r="I64" s="146"/>
      <c r="J64" s="146"/>
      <c r="K64" s="146"/>
      <c r="L64" s="146"/>
      <c r="M64" s="146"/>
      <c r="N64" s="91"/>
      <c r="O64" s="91"/>
      <c r="P64" s="91"/>
      <c r="Q64" s="91"/>
      <c r="R64" s="91"/>
      <c r="S64" s="91"/>
      <c r="T64" s="91"/>
      <c r="U64" s="91"/>
    </row>
    <row r="65" spans="2:56" s="145" customFormat="1" ht="30" hidden="1">
      <c r="B65" s="147" t="s">
        <v>96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91"/>
      <c r="O65" s="91"/>
      <c r="P65" s="91"/>
      <c r="Q65" s="91"/>
      <c r="R65" s="91"/>
      <c r="S65" s="91"/>
      <c r="T65" s="91"/>
      <c r="U65" s="91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</row>
    <row r="66" spans="2:21" ht="15" hidden="1">
      <c r="B66" s="148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91"/>
      <c r="O66" s="91"/>
      <c r="P66" s="91"/>
      <c r="Q66" s="91"/>
      <c r="R66" s="91"/>
      <c r="S66" s="91"/>
      <c r="T66" s="91"/>
      <c r="U66" s="91"/>
    </row>
    <row r="67" spans="2:21" ht="22.5" hidden="1">
      <c r="B67" s="149" t="s">
        <v>97</v>
      </c>
      <c r="C67" s="149"/>
      <c r="D67" s="149"/>
      <c r="E67" s="149">
        <f>IF(H="","",H)</f>
      </c>
      <c r="F67" s="149" t="s">
        <v>11</v>
      </c>
      <c r="G67" s="146"/>
      <c r="H67" s="146"/>
      <c r="I67" s="146"/>
      <c r="J67" s="146"/>
      <c r="K67" s="146"/>
      <c r="L67" s="146"/>
      <c r="M67" s="146"/>
      <c r="N67" s="91"/>
      <c r="O67" s="91"/>
      <c r="P67" s="91"/>
      <c r="Q67" s="91"/>
      <c r="R67" s="91"/>
      <c r="S67" s="91"/>
      <c r="T67" s="91"/>
      <c r="U67" s="91"/>
    </row>
    <row r="68" spans="2:21" ht="22.5" hidden="1">
      <c r="B68" s="149" t="s">
        <v>98</v>
      </c>
      <c r="C68" s="149"/>
      <c r="D68" s="149"/>
      <c r="E68" s="149">
        <f>db</f>
        <v>0</v>
      </c>
      <c r="F68" s="149" t="s">
        <v>74</v>
      </c>
      <c r="G68" s="146"/>
      <c r="H68" s="146"/>
      <c r="I68" s="146"/>
      <c r="J68" s="146"/>
      <c r="K68" s="146"/>
      <c r="L68" s="146"/>
      <c r="M68" s="146"/>
      <c r="N68" s="91"/>
      <c r="O68" s="91"/>
      <c r="P68" s="91"/>
      <c r="Q68" s="91"/>
      <c r="R68" s="91"/>
      <c r="S68" s="91"/>
      <c r="T68" s="91"/>
      <c r="U68" s="91"/>
    </row>
    <row r="69" spans="2:24" ht="22.5" hidden="1">
      <c r="B69" s="149" t="s">
        <v>99</v>
      </c>
      <c r="C69" s="149"/>
      <c r="D69" s="153"/>
      <c r="E69" s="153" t="str">
        <f>INDEX(Daten!A23:A25,D33,1)</f>
        <v>DN 32</v>
      </c>
      <c r="F69" s="149"/>
      <c r="G69" s="146"/>
      <c r="H69" s="146"/>
      <c r="I69" s="146"/>
      <c r="J69" s="146"/>
      <c r="K69" s="146"/>
      <c r="L69" s="146"/>
      <c r="M69" s="146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2:21" ht="22.5" hidden="1">
      <c r="B70" s="149" t="s">
        <v>140</v>
      </c>
      <c r="C70" s="149"/>
      <c r="D70" s="153"/>
      <c r="E70" s="153" t="str">
        <f>INDEX(Daten!B11:B17,H6,1)</f>
        <v>Wasser</v>
      </c>
      <c r="F70" s="153"/>
      <c r="G70" s="146"/>
      <c r="H70" s="146"/>
      <c r="I70" s="146"/>
      <c r="J70" s="146"/>
      <c r="K70" s="146"/>
      <c r="L70" s="146"/>
      <c r="M70" s="146"/>
      <c r="N70" s="91"/>
      <c r="O70" s="91"/>
      <c r="P70" s="91"/>
      <c r="Q70" s="91"/>
      <c r="R70" s="91"/>
      <c r="S70" s="91"/>
      <c r="T70" s="91"/>
      <c r="U70" s="91"/>
    </row>
    <row r="71" spans="2:21" ht="20.25" hidden="1">
      <c r="B71" s="151"/>
      <c r="C71" s="151"/>
      <c r="D71" s="158"/>
      <c r="E71" s="158"/>
      <c r="F71" s="158"/>
      <c r="G71" s="146"/>
      <c r="H71" s="146"/>
      <c r="I71" s="146"/>
      <c r="J71" s="146"/>
      <c r="K71" s="146"/>
      <c r="L71" s="146"/>
      <c r="M71" s="146"/>
      <c r="N71" s="91"/>
      <c r="O71" s="91"/>
      <c r="P71" s="91"/>
      <c r="Q71" s="91"/>
      <c r="R71" s="91"/>
      <c r="S71" s="91"/>
      <c r="T71" s="91"/>
      <c r="U71" s="91"/>
    </row>
    <row r="72" spans="2:21" ht="29.25" customHeight="1" hidden="1">
      <c r="B72" s="146"/>
      <c r="C72" s="146"/>
      <c r="D72" s="146"/>
      <c r="E72" s="159"/>
      <c r="F72" s="159"/>
      <c r="G72" s="146"/>
      <c r="H72" s="146"/>
      <c r="I72" s="146"/>
      <c r="J72" s="146"/>
      <c r="K72" s="146"/>
      <c r="L72" s="146"/>
      <c r="M72" s="146"/>
      <c r="N72" s="91"/>
      <c r="O72" s="91"/>
      <c r="P72" s="91"/>
      <c r="Q72" s="91"/>
      <c r="R72" s="91"/>
      <c r="S72" s="91"/>
      <c r="T72" s="91"/>
      <c r="U72" s="91"/>
    </row>
    <row r="73" spans="2:21" ht="30" hidden="1">
      <c r="B73" s="147" t="s">
        <v>103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91"/>
      <c r="O73" s="91"/>
      <c r="P73" s="91"/>
      <c r="Q73" s="91"/>
      <c r="R73" s="91"/>
      <c r="S73" s="91"/>
      <c r="T73" s="91"/>
      <c r="U73" s="91"/>
    </row>
    <row r="74" spans="2:21" ht="15" hidden="1">
      <c r="B74" s="148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91"/>
      <c r="O74" s="91"/>
      <c r="P74" s="91"/>
      <c r="Q74" s="91"/>
      <c r="R74" s="91"/>
      <c r="S74" s="91"/>
      <c r="T74" s="91"/>
      <c r="U74" s="91"/>
    </row>
    <row r="75" spans="2:21" ht="22.5" hidden="1">
      <c r="B75" s="149" t="s">
        <v>92</v>
      </c>
      <c r="C75" s="149"/>
      <c r="D75" s="149"/>
      <c r="E75" s="153">
        <f>IF(I31="","",I31)</f>
      </c>
      <c r="F75" s="149"/>
      <c r="G75" s="146"/>
      <c r="H75" s="146"/>
      <c r="I75" s="146"/>
      <c r="J75" s="146"/>
      <c r="K75" s="146"/>
      <c r="L75" s="146"/>
      <c r="M75" s="146"/>
      <c r="N75" s="91"/>
      <c r="O75" s="91"/>
      <c r="P75" s="91"/>
      <c r="Q75" s="91"/>
      <c r="R75" s="91"/>
      <c r="S75" s="91"/>
      <c r="T75" s="91"/>
      <c r="U75" s="91"/>
    </row>
    <row r="76" spans="2:21" ht="22.5" hidden="1">
      <c r="B76" s="149" t="s">
        <v>93</v>
      </c>
      <c r="C76" s="149"/>
      <c r="D76" s="149"/>
      <c r="E76" s="153">
        <f>IF(K31="","",K31)</f>
      </c>
      <c r="F76" s="149"/>
      <c r="G76" s="146"/>
      <c r="H76" s="146"/>
      <c r="I76" s="146"/>
      <c r="J76" s="146"/>
      <c r="K76" s="146"/>
      <c r="L76" s="146"/>
      <c r="M76" s="146"/>
      <c r="N76" s="91"/>
      <c r="O76" s="91"/>
      <c r="P76" s="91"/>
      <c r="Q76" s="91"/>
      <c r="R76" s="91"/>
      <c r="S76" s="91"/>
      <c r="T76" s="91"/>
      <c r="U76" s="91"/>
    </row>
    <row r="77" spans="2:21" ht="22.5" hidden="1">
      <c r="B77" s="149" t="s">
        <v>106</v>
      </c>
      <c r="C77" s="149"/>
      <c r="D77" s="149"/>
      <c r="E77" s="160">
        <f>IF(J35="","",J35)</f>
      </c>
      <c r="F77" s="149" t="s">
        <v>108</v>
      </c>
      <c r="G77" s="146"/>
      <c r="H77" s="146"/>
      <c r="I77" s="146"/>
      <c r="J77" s="146"/>
      <c r="K77" s="146"/>
      <c r="L77" s="146"/>
      <c r="M77" s="146"/>
      <c r="N77" s="91"/>
      <c r="O77" s="91"/>
      <c r="P77" s="91"/>
      <c r="Q77" s="91"/>
      <c r="R77" s="91"/>
      <c r="S77" s="91"/>
      <c r="T77" s="91"/>
      <c r="U77" s="91"/>
    </row>
    <row r="78" spans="2:21" ht="22.5" hidden="1">
      <c r="B78" s="149" t="s">
        <v>107</v>
      </c>
      <c r="C78" s="149"/>
      <c r="D78" s="149"/>
      <c r="E78" s="155">
        <f>IF(J33="","",J33)</f>
      </c>
      <c r="F78" s="161" t="s">
        <v>11</v>
      </c>
      <c r="G78" s="146"/>
      <c r="H78" s="146"/>
      <c r="I78" s="146"/>
      <c r="J78" s="146"/>
      <c r="K78" s="146"/>
      <c r="L78" s="146"/>
      <c r="M78" s="146"/>
      <c r="N78" s="91"/>
      <c r="O78" s="91"/>
      <c r="P78" s="91"/>
      <c r="Q78" s="91"/>
      <c r="R78" s="91"/>
      <c r="S78" s="91"/>
      <c r="T78" s="91"/>
      <c r="U78" s="91"/>
    </row>
    <row r="79" spans="2:21" ht="22.5" hidden="1">
      <c r="B79" s="149" t="s">
        <v>104</v>
      </c>
      <c r="C79" s="149"/>
      <c r="D79" s="149"/>
      <c r="E79" s="155">
        <f>IF(eta="","",eta)</f>
      </c>
      <c r="F79" s="149" t="s">
        <v>105</v>
      </c>
      <c r="G79" s="146"/>
      <c r="H79" s="146"/>
      <c r="I79" s="146"/>
      <c r="J79" s="146"/>
      <c r="K79" s="146"/>
      <c r="L79" s="146"/>
      <c r="M79" s="146"/>
      <c r="N79" s="91"/>
      <c r="O79" s="91"/>
      <c r="P79" s="91"/>
      <c r="Q79" s="91"/>
      <c r="R79" s="91"/>
      <c r="S79" s="91"/>
      <c r="T79" s="91"/>
      <c r="U79" s="91"/>
    </row>
    <row r="80" spans="2:21" ht="22.5" hidden="1">
      <c r="B80" s="149" t="s">
        <v>94</v>
      </c>
      <c r="C80" s="149"/>
      <c r="D80" s="149"/>
      <c r="E80" s="162">
        <f>IF(K38="","",K38)</f>
      </c>
      <c r="F80" s="149" t="s">
        <v>20</v>
      </c>
      <c r="G80" s="146"/>
      <c r="H80" s="146"/>
      <c r="I80" s="146"/>
      <c r="J80" s="146"/>
      <c r="K80" s="146"/>
      <c r="L80" s="146"/>
      <c r="M80" s="146"/>
      <c r="N80" s="91"/>
      <c r="O80" s="91"/>
      <c r="P80" s="91"/>
      <c r="Q80" s="91"/>
      <c r="R80" s="91"/>
      <c r="S80" s="91"/>
      <c r="T80" s="91"/>
      <c r="U80" s="91"/>
    </row>
    <row r="81" spans="2:21" ht="20.25" hidden="1">
      <c r="B81" s="151"/>
      <c r="C81" s="151"/>
      <c r="D81" s="158"/>
      <c r="E81" s="158"/>
      <c r="F81" s="158"/>
      <c r="G81" s="146"/>
      <c r="H81" s="146"/>
      <c r="I81" s="146"/>
      <c r="J81" s="146"/>
      <c r="K81" s="146"/>
      <c r="L81" s="146"/>
      <c r="M81" s="146"/>
      <c r="N81" s="91"/>
      <c r="O81" s="91"/>
      <c r="P81" s="91"/>
      <c r="Q81" s="91"/>
      <c r="R81" s="91"/>
      <c r="S81" s="91"/>
      <c r="T81" s="91"/>
      <c r="U81" s="91"/>
    </row>
    <row r="82" spans="2:21" ht="29.25" customHeight="1" hidden="1">
      <c r="B82" s="146"/>
      <c r="C82" s="146"/>
      <c r="D82" s="146"/>
      <c r="E82" s="159"/>
      <c r="F82" s="159"/>
      <c r="G82" s="146"/>
      <c r="H82" s="146"/>
      <c r="I82" s="146"/>
      <c r="J82" s="146"/>
      <c r="K82" s="146"/>
      <c r="L82" s="146"/>
      <c r="M82" s="146"/>
      <c r="N82" s="91"/>
      <c r="O82" s="91"/>
      <c r="P82" s="91"/>
      <c r="Q82" s="91"/>
      <c r="R82" s="91"/>
      <c r="S82" s="91"/>
      <c r="T82" s="91"/>
      <c r="U82" s="91"/>
    </row>
    <row r="83" spans="2:21" ht="30" hidden="1">
      <c r="B83" s="147" t="s">
        <v>147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91"/>
      <c r="O83" s="91"/>
      <c r="P83" s="91"/>
      <c r="Q83" s="91"/>
      <c r="R83" s="91"/>
      <c r="S83" s="91"/>
      <c r="T83" s="91"/>
      <c r="U83" s="91"/>
    </row>
    <row r="84" spans="2:21" ht="12.75" hidden="1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91"/>
      <c r="O84" s="91"/>
      <c r="P84" s="91"/>
      <c r="Q84" s="91"/>
      <c r="R84" s="91"/>
      <c r="S84" s="91"/>
      <c r="T84" s="91"/>
      <c r="U84" s="91"/>
    </row>
    <row r="85" spans="2:21" ht="13.5" hidden="1" thickBot="1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91"/>
      <c r="O85" s="91"/>
      <c r="P85" s="91"/>
      <c r="Q85" s="91"/>
      <c r="R85" s="91"/>
      <c r="S85" s="91"/>
      <c r="T85" s="91"/>
      <c r="U85" s="91"/>
    </row>
    <row r="86" spans="2:21" ht="33.75" customHeight="1" hidden="1" thickBot="1" thickTop="1">
      <c r="B86" s="146"/>
      <c r="C86" s="146"/>
      <c r="D86" s="146"/>
      <c r="E86" s="146"/>
      <c r="F86" s="146"/>
      <c r="G86" s="146"/>
      <c r="H86" s="163">
        <f>IF(J41="","",J41)</f>
        <v>0</v>
      </c>
      <c r="I86" s="164" t="s">
        <v>105</v>
      </c>
      <c r="J86" s="146"/>
      <c r="K86" s="146"/>
      <c r="L86" s="146"/>
      <c r="M86" s="146"/>
      <c r="N86" s="91"/>
      <c r="O86" s="91"/>
      <c r="P86" s="91"/>
      <c r="Q86" s="91"/>
      <c r="R86" s="91"/>
      <c r="S86" s="91"/>
      <c r="T86" s="91"/>
      <c r="U86" s="91"/>
    </row>
    <row r="87" spans="2:21" ht="13.5" hidden="1" thickTop="1"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91"/>
      <c r="O87" s="91"/>
      <c r="P87" s="91"/>
      <c r="Q87" s="91"/>
      <c r="R87" s="91"/>
      <c r="S87" s="91"/>
      <c r="T87" s="91"/>
      <c r="U87" s="91"/>
    </row>
    <row r="88" spans="2:21" ht="12.75" hidden="1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91"/>
      <c r="O88" s="91"/>
      <c r="P88" s="91"/>
      <c r="Q88" s="91"/>
      <c r="R88" s="91"/>
      <c r="S88" s="91"/>
      <c r="T88" s="91"/>
      <c r="U88" s="91"/>
    </row>
    <row r="89" spans="2:21" ht="12.75" hidden="1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91"/>
      <c r="O89" s="91"/>
      <c r="P89" s="91"/>
      <c r="Q89" s="91"/>
      <c r="R89" s="91"/>
      <c r="S89" s="91"/>
      <c r="T89" s="91"/>
      <c r="U89" s="91"/>
    </row>
    <row r="90" spans="2:21" ht="12.75" hidden="1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91"/>
      <c r="O90" s="91"/>
      <c r="P90" s="91"/>
      <c r="Q90" s="91"/>
      <c r="R90" s="91"/>
      <c r="S90" s="91"/>
      <c r="T90" s="91"/>
      <c r="U90" s="91"/>
    </row>
    <row r="91" spans="2:21" ht="12.75" hidden="1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91"/>
      <c r="O91" s="91"/>
      <c r="P91" s="91"/>
      <c r="Q91" s="91"/>
      <c r="R91" s="91"/>
      <c r="S91" s="91"/>
      <c r="T91" s="91"/>
      <c r="U91" s="91"/>
    </row>
    <row r="92" spans="2:21" ht="12.75" hidden="1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91"/>
      <c r="O92" s="91"/>
      <c r="P92" s="91"/>
      <c r="Q92" s="91"/>
      <c r="R92" s="91"/>
      <c r="S92" s="91"/>
      <c r="T92" s="91"/>
      <c r="U92" s="91"/>
    </row>
    <row r="93" spans="2:21" ht="12.75" hidden="1"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91"/>
      <c r="O93" s="91"/>
      <c r="P93" s="91"/>
      <c r="Q93" s="91"/>
      <c r="R93" s="91"/>
      <c r="S93" s="91"/>
      <c r="T93" s="91"/>
      <c r="U93" s="91"/>
    </row>
    <row r="94" spans="2:21" ht="12.75" hidden="1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91"/>
      <c r="O94" s="91"/>
      <c r="P94" s="91"/>
      <c r="Q94" s="91"/>
      <c r="R94" s="91"/>
      <c r="S94" s="91"/>
      <c r="T94" s="91"/>
      <c r="U94" s="91"/>
    </row>
    <row r="95" spans="2:21" ht="12.75" hidden="1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91"/>
      <c r="O95" s="91"/>
      <c r="P95" s="91"/>
      <c r="Q95" s="91"/>
      <c r="R95" s="91"/>
      <c r="S95" s="91"/>
      <c r="T95" s="91"/>
      <c r="U95" s="91"/>
    </row>
    <row r="96" spans="2:21" ht="12.75" hidden="1"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91"/>
      <c r="O96" s="91"/>
      <c r="P96" s="91"/>
      <c r="Q96" s="91"/>
      <c r="R96" s="91"/>
      <c r="S96" s="91"/>
      <c r="T96" s="91"/>
      <c r="U96" s="91"/>
    </row>
    <row r="97" spans="2:21" ht="12.75" hidden="1"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91"/>
      <c r="O97" s="91"/>
      <c r="P97" s="91"/>
      <c r="Q97" s="91"/>
      <c r="R97" s="91"/>
      <c r="S97" s="91"/>
      <c r="T97" s="91"/>
      <c r="U97" s="91"/>
    </row>
    <row r="98" spans="2:21" ht="12.75" hidden="1"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91"/>
      <c r="O98" s="91"/>
      <c r="P98" s="91"/>
      <c r="Q98" s="91"/>
      <c r="R98" s="91"/>
      <c r="S98" s="91"/>
      <c r="T98" s="91"/>
      <c r="U98" s="91"/>
    </row>
    <row r="99" spans="2:21" ht="12.75" hidden="1"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91"/>
      <c r="O99" s="91"/>
      <c r="P99" s="91"/>
      <c r="Q99" s="91"/>
      <c r="R99" s="91"/>
      <c r="S99" s="91"/>
      <c r="T99" s="91"/>
      <c r="U99" s="91"/>
    </row>
    <row r="100" spans="2:21" ht="12.75" hidden="1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91"/>
      <c r="O100" s="91"/>
      <c r="P100" s="91"/>
      <c r="Q100" s="91"/>
      <c r="R100" s="91"/>
      <c r="S100" s="91"/>
      <c r="T100" s="91"/>
      <c r="U100" s="91"/>
    </row>
    <row r="101" spans="2:21" ht="12.75" hidden="1"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91"/>
      <c r="O101" s="91"/>
      <c r="P101" s="91"/>
      <c r="Q101" s="91"/>
      <c r="R101" s="91"/>
      <c r="S101" s="91"/>
      <c r="T101" s="91"/>
      <c r="U101" s="91"/>
    </row>
    <row r="102" spans="2:21" ht="12.75" hidden="1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91"/>
      <c r="O102" s="91"/>
      <c r="P102" s="91"/>
      <c r="Q102" s="91"/>
      <c r="R102" s="91"/>
      <c r="S102" s="91"/>
      <c r="T102" s="91"/>
      <c r="U102" s="91"/>
    </row>
    <row r="103" spans="2:21" ht="12.75" hidden="1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91"/>
      <c r="O103" s="91"/>
      <c r="P103" s="91"/>
      <c r="Q103" s="91"/>
      <c r="R103" s="91"/>
      <c r="S103" s="91"/>
      <c r="T103" s="91"/>
      <c r="U103" s="91"/>
    </row>
    <row r="104" spans="2:21" ht="12.75" hidden="1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91"/>
      <c r="O104" s="91"/>
      <c r="P104" s="91"/>
      <c r="Q104" s="91"/>
      <c r="R104" s="91"/>
      <c r="S104" s="91"/>
      <c r="T104" s="91"/>
      <c r="U104" s="91"/>
    </row>
    <row r="105" spans="2:21" ht="12.75" hidden="1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91"/>
      <c r="O105" s="91"/>
      <c r="P105" s="91"/>
      <c r="Q105" s="91"/>
      <c r="R105" s="91"/>
      <c r="S105" s="91"/>
      <c r="T105" s="91"/>
      <c r="U105" s="91"/>
    </row>
    <row r="106" spans="2:21" ht="12.75" hidden="1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91"/>
      <c r="O106" s="91"/>
      <c r="P106" s="91"/>
      <c r="Q106" s="91"/>
      <c r="R106" s="91"/>
      <c r="S106" s="91"/>
      <c r="T106" s="91"/>
      <c r="U106" s="91"/>
    </row>
    <row r="107" spans="2:21" ht="12.75" hidden="1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91"/>
      <c r="O107" s="91"/>
      <c r="P107" s="91"/>
      <c r="Q107" s="91"/>
      <c r="R107" s="91"/>
      <c r="S107" s="91"/>
      <c r="T107" s="91"/>
      <c r="U107" s="91"/>
    </row>
    <row r="108" spans="2:21" ht="12.75" hidden="1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91"/>
      <c r="O108" s="91"/>
      <c r="P108" s="91"/>
      <c r="Q108" s="91"/>
      <c r="R108" s="91"/>
      <c r="S108" s="91"/>
      <c r="T108" s="91"/>
      <c r="U108" s="91"/>
    </row>
    <row r="109" spans="2:21" ht="12.75" hidden="1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91"/>
      <c r="O109" s="91"/>
      <c r="P109" s="91"/>
      <c r="Q109" s="91"/>
      <c r="R109" s="91"/>
      <c r="S109" s="91"/>
      <c r="T109" s="91"/>
      <c r="U109" s="91"/>
    </row>
    <row r="110" spans="2:21" ht="12.75" hidden="1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91"/>
      <c r="O110" s="91"/>
      <c r="P110" s="91"/>
      <c r="Q110" s="91"/>
      <c r="R110" s="91"/>
      <c r="S110" s="91"/>
      <c r="T110" s="91"/>
      <c r="U110" s="91"/>
    </row>
    <row r="111" spans="2:21" ht="12.75" hidden="1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91"/>
      <c r="O111" s="91"/>
      <c r="P111" s="91"/>
      <c r="Q111" s="91"/>
      <c r="R111" s="91"/>
      <c r="S111" s="91"/>
      <c r="T111" s="91"/>
      <c r="U111" s="91"/>
    </row>
    <row r="112" spans="2:21" ht="12.75" hidden="1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91"/>
      <c r="O112" s="91"/>
      <c r="P112" s="91"/>
      <c r="Q112" s="91"/>
      <c r="R112" s="91"/>
      <c r="S112" s="91"/>
      <c r="T112" s="91"/>
      <c r="U112" s="91"/>
    </row>
    <row r="113" spans="2:21" ht="12.75" hidden="1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91"/>
      <c r="O113" s="91"/>
      <c r="P113" s="91"/>
      <c r="Q113" s="91"/>
      <c r="R113" s="91"/>
      <c r="S113" s="91"/>
      <c r="T113" s="91"/>
      <c r="U113" s="91"/>
    </row>
    <row r="114" spans="2:21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12:21" ht="12.75"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12:21" ht="12.75"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12:21" ht="12.75"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12:21" ht="12.75"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2:21" ht="12.75"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12:21" ht="12.75"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12:21" ht="12.75"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12:21" ht="12.75"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12:21" ht="12.75"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12:21" ht="12.75"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2:21" ht="12.75"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12:21" ht="12.75"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2:21" ht="12.75"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12:21" ht="12.75"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12:21" ht="12.75"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12:21" ht="12.75"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12:21" ht="12.75"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12:21" ht="12.75"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12:21" ht="12.75"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12:21" ht="12.75"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12:21" ht="12.75"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12:21" ht="12.75"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12:21" ht="12.75"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12:21" ht="12.75"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12:21" ht="12.75"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12:21" ht="12.75"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2:21" ht="12.75"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2:21" ht="12.75"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2:21" ht="12.75"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12:21" ht="12.75"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12:21" ht="12.75"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12:21" ht="12.75"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12:21" ht="12.75"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12:21" ht="12.75"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12:21" ht="12.75"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12:21" ht="12.75"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12:21" ht="12.75"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12:21" ht="12.75"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12:21" ht="12.75"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12:21" ht="12.75"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12:21" ht="12.75"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12:21" ht="12.75"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12:21" ht="12.75"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12:21" ht="12.75"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12:21" ht="12.75"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12:21" ht="12.75"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12:21" ht="12.75"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12:21" ht="12.75"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12:21" ht="12.75"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12:21" ht="12.75"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12:21" ht="12.75"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12:21" ht="12.75"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12:21" ht="12.75"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12:21" ht="12.75"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12:21" ht="12.75"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12:21" ht="12.75"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12:21" ht="12.75"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12:21" ht="12.75"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12:21" ht="12.75"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12:21" ht="12.75"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12:21" ht="12.75"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12:21" ht="12.75"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12:21" ht="12.75"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12:21" ht="12.75"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12:21" ht="12.75"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12:21" ht="12.75"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12:21" ht="12.75"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12:21" ht="12.75"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12:21" ht="12.75"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12:21" ht="12.75"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12:21" ht="12.75"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12:21" ht="12.75"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12:21" ht="12.75"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12:21" ht="12.75"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12:21" ht="12.75"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12:21" ht="12.75"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12:21" ht="12.75"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12:21" ht="12.75"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12:21" ht="12.75"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12:21" ht="12.75"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12:21" ht="12.75"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12:21" ht="12.75"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12:21" ht="12.75"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12:21" ht="12.75"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12:21" ht="12.75"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12:21" ht="12.75"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12:21" ht="12.75"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12:21" ht="12.75"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12:21" ht="12.75"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12:21" ht="12.75"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12:21" ht="12.75"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12:21" ht="12.75"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12:21" ht="12.75"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12:21" ht="12.75"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12:21" ht="12.75"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12:21" ht="12.75"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12:21" ht="12.75"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12:21" ht="12.75"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12:21" ht="12.75"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12:21" ht="12.75"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12:21" ht="12.75"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12:21" ht="12.75"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12:21" ht="12.75"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12:21" ht="12.75"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12:21" ht="12.75"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12:21" ht="12.75"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12:21" ht="12.75"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12:21" ht="12.75"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12:21" ht="12.75"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12:21" ht="12.75"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12:21" ht="12.75"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12:21" ht="12.75"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12:21" ht="12.75"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12:21" ht="12.75"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12:21" ht="12.75"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12:21" ht="12.75"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12:21" ht="12.75"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12:21" ht="12.75"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12:21" ht="12.75"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12:21" ht="12.75"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12:21" ht="12.75"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12:21" ht="12.75"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12:21" ht="12.75"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12:21" ht="12.75"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12:21" ht="12.75"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12:21" ht="12.75"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12:21" ht="12.75"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12:21" ht="12.75"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12:21" ht="12.75"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12:21" ht="12.75"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12:21" ht="12.75"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12:21" ht="12.75"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12:21" ht="12.75"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12:21" ht="12.75"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12:21" ht="12.75"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12:21" ht="12.75"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12:21" ht="12.75"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12:21" ht="12.75"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12:21" ht="12.75"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12:21" ht="12.75"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12:21" ht="12.75"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12:21" ht="12.75"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12:21" ht="12.75"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12:21" ht="12.75"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12:21" ht="12.75"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12:21" ht="12.75"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12:21" ht="12.75"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12:21" ht="12.75"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12:21" ht="12.75"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12:21" ht="12.75"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12:21" ht="12.75"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12:21" ht="12.75"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12:21" ht="12.75"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12:21" ht="12.75"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12:21" ht="12.75"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12:21" ht="12.75"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12:21" ht="12.75"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12:21" ht="12.75"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12:21" ht="12.75"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12:21" ht="12.75"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12:21" ht="12.75"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12:21" ht="12.75"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12:21" ht="12.75"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12:21" ht="12.75"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12:21" ht="12.75"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12:21" ht="12.75"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12:21" ht="12.75"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12:21" ht="12.75"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12:21" ht="12.75"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12:21" ht="12.75"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12:21" ht="12.75"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12:21" ht="12.75"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12:21" ht="12.75"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12:21" ht="12.75"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12:21" ht="12.75"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12:21" ht="12.75"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12:21" ht="12.75"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12:21" ht="12.75"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12:21" ht="12.75"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12:21" ht="12.75"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12:21" ht="12.75"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12:21" ht="12.75"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12:21" ht="12.75"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12:21" ht="12.75"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12:21" ht="12.75"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12:21" ht="12.75"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12:21" ht="12.75"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12:21" ht="12.75"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12:21" ht="12.75"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12:21" ht="12.75"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12:21" ht="12.75"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12:21" ht="12.75"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12:21" ht="12.75"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12:21" ht="12.75"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12:21" ht="12.75"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12:21" ht="12.75"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12:21" ht="12.75"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12:21" ht="12.75"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12:21" ht="12.75"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12:21" ht="12.75"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12:21" ht="12.75"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12:21" ht="12.75"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12:21" ht="12.75"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12:21" ht="12.75"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12:21" ht="12.75"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12:21" ht="12.75"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12:21" ht="12.75"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12:21" ht="12.75"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12:21" ht="12.75"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12:21" ht="12.75"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12:21" ht="12.75"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12:21" ht="12.75"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12:21" ht="12.75"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12:21" ht="12.75"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12:21" ht="12.75"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12:21" ht="12.75"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12:21" ht="12.75"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12:21" ht="12.75"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12:21" ht="12.75"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12:21" ht="12.75"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12:21" ht="12.75"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12:21" ht="12.75"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12:21" ht="12.75"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12:21" ht="12.75"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12:21" ht="12.75"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12:21" ht="12.75"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12:21" ht="12.75"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12:21" ht="12.75"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12:21" ht="12.75"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12:21" ht="12.75"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12:21" ht="12.75"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12:21" ht="12.75"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12:21" ht="12.75"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12:21" ht="12.75"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12:21" ht="12.75"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12:21" ht="12.75"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12:21" ht="12.75"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12:21" ht="12.75"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12:21" ht="12.75"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12:21" ht="12.75"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12:21" ht="12.75"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12:21" ht="12.75"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12:21" ht="12.75"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12:21" ht="12.75"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12:21" ht="12.75"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12:21" ht="12.75"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12:21" ht="12.75"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12:21" ht="12.75"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12:21" ht="12.75"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12:21" ht="12.75"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12:21" ht="12.75"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12:21" ht="12.75"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12:21" ht="12.75"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12:21" ht="12.75"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12:21" ht="12.75"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12:21" ht="12.75"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12:21" ht="12.75"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12:21" ht="12.75"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12:21" ht="12.75"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12:21" ht="12.75"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12:21" ht="12.75"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12:21" ht="12.75"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12:21" ht="12.75"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12:21" ht="12.75"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12:21" ht="12.75"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12:21" ht="12.75"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12:21" ht="12.75"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12:21" ht="12.75"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12:21" ht="12.75"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12:21" ht="12.75"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12:21" ht="12.75"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12:21" ht="12.75"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12:21" ht="12.75"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12:21" ht="12.75"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12:21" ht="12.75"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12:21" ht="12.75"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12:21" ht="12.75"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12:21" ht="12.75"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12:21" ht="12.75"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12:21" ht="12.75"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12:21" ht="12.75"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12:21" ht="12.75"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12:21" ht="12.75"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12:21" ht="12.75"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12:21" ht="12.75"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12:21" ht="12.75"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12:21" ht="12.75"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</sheetData>
  <sheetProtection password="D70C" sheet="1" objects="1" scenarios="1"/>
  <mergeCells count="1">
    <mergeCell ref="C2:D2"/>
  </mergeCells>
  <conditionalFormatting sqref="J41">
    <cfRule type="cellIs" priority="1" dxfId="0" operator="greaterThan" stopIfTrue="1">
      <formula>10</formula>
    </cfRule>
    <cfRule type="cellIs" priority="2" dxfId="1" operator="lessThan" stopIfTrue="1">
      <formula>10</formula>
    </cfRule>
  </conditionalFormatting>
  <printOptions/>
  <pageMargins left="0.44" right="0.25" top="1.25" bottom="0.6299212598425197" header="0.4330708661417323" footer="0.35433070866141736"/>
  <pageSetup fitToHeight="0" fitToWidth="1" horizontalDpi="600" verticalDpi="600" orientation="portrait" paperSize="9" scale="85" r:id="rId3"/>
  <headerFooter alignWithMargins="0">
    <oddHeader>&amp;L&amp;14Programm EWSDRUCK Ver. 2.0 (Juli 2007)
Hergestellt für das Bundesamt für Energie&amp;R&amp;14&amp;D</oddHeader>
  </headerFooter>
  <rowBreaks count="1" manualBreakCount="1">
    <brk id="47" min="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AB56"/>
  <sheetViews>
    <sheetView zoomScale="75" zoomScaleNormal="75" workbookViewId="0" topLeftCell="A1">
      <selection activeCell="B24" sqref="B24"/>
    </sheetView>
  </sheetViews>
  <sheetFormatPr defaultColWidth="11.421875" defaultRowHeight="12.75" outlineLevelCol="1"/>
  <cols>
    <col min="1" max="1" width="3.140625" style="3" customWidth="1"/>
    <col min="2" max="2" width="23.7109375" style="3" customWidth="1"/>
    <col min="3" max="3" width="11.7109375" style="3" bestFit="1" customWidth="1"/>
    <col min="4" max="4" width="11.421875" style="3" customWidth="1"/>
    <col min="5" max="5" width="12.8515625" style="3" customWidth="1"/>
    <col min="6" max="6" width="12.57421875" style="3" bestFit="1" customWidth="1"/>
    <col min="7" max="7" width="12.421875" style="3" customWidth="1"/>
    <col min="8" max="8" width="11.7109375" style="3" customWidth="1"/>
    <col min="9" max="9" width="11.57421875" style="72" customWidth="1"/>
    <col min="10" max="10" width="13.421875" style="49" hidden="1" customWidth="1" outlineLevel="1"/>
    <col min="11" max="11" width="6.00390625" style="49" hidden="1" customWidth="1" outlineLevel="1"/>
    <col min="12" max="12" width="13.57421875" style="70" hidden="1" customWidth="1" outlineLevel="1"/>
    <col min="13" max="13" width="3.28125" style="187" hidden="1" customWidth="1" outlineLevel="1"/>
    <col min="14" max="14" width="12.57421875" style="71" hidden="1" customWidth="1" outlineLevel="1"/>
    <col min="15" max="15" width="20.57421875" style="70" hidden="1" customWidth="1" outlineLevel="1"/>
    <col min="16" max="16" width="20.7109375" style="70" hidden="1" customWidth="1" outlineLevel="1"/>
    <col min="17" max="17" width="22.140625" style="70" hidden="1" customWidth="1" outlineLevel="1"/>
    <col min="18" max="18" width="22.28125" style="70" hidden="1" customWidth="1" outlineLevel="1"/>
    <col min="19" max="19" width="11.421875" style="67" customWidth="1" collapsed="1"/>
    <col min="20" max="20" width="12.421875" style="67" customWidth="1"/>
    <col min="21" max="21" width="11.421875" style="67" customWidth="1"/>
    <col min="22" max="22" width="10.140625" style="67" customWidth="1"/>
    <col min="23" max="23" width="8.421875" style="67" customWidth="1"/>
    <col min="24" max="29" width="11.421875" style="67" customWidth="1"/>
    <col min="30" max="16384" width="11.421875" style="3" customWidth="1"/>
  </cols>
  <sheetData>
    <row r="2" spans="2:9" ht="15">
      <c r="B2" s="46" t="s">
        <v>134</v>
      </c>
      <c r="C2" s="44"/>
      <c r="D2" s="81" t="s">
        <v>136</v>
      </c>
      <c r="E2" s="214">
        <v>800</v>
      </c>
      <c r="F2" s="61" t="s">
        <v>75</v>
      </c>
      <c r="G2" s="222" t="s">
        <v>128</v>
      </c>
      <c r="H2" s="32"/>
      <c r="I2" s="70"/>
    </row>
    <row r="3" spans="2:9" ht="15">
      <c r="B3" s="47" t="s">
        <v>133</v>
      </c>
      <c r="C3" s="32"/>
      <c r="D3" s="48" t="s">
        <v>135</v>
      </c>
      <c r="E3" s="215">
        <v>2600</v>
      </c>
      <c r="F3" s="62" t="s">
        <v>76</v>
      </c>
      <c r="G3" s="223" t="s">
        <v>127</v>
      </c>
      <c r="H3" s="32"/>
      <c r="I3" s="70"/>
    </row>
    <row r="4" spans="2:9" ht="15">
      <c r="B4" s="50" t="s">
        <v>122</v>
      </c>
      <c r="C4" s="28"/>
      <c r="D4" s="51" t="s">
        <v>123</v>
      </c>
      <c r="E4" s="216">
        <v>0.08</v>
      </c>
      <c r="F4" s="63" t="s">
        <v>124</v>
      </c>
      <c r="G4" s="224">
        <f>IF(lambdaErde&gt;3,80,IF(lambdaErde&gt;2,55,IF(lambdaErde&gt;1.5,50,40)))</f>
        <v>40</v>
      </c>
      <c r="H4" s="32"/>
      <c r="I4" s="70"/>
    </row>
    <row r="7" spans="2:6" ht="12.75">
      <c r="B7" s="6" t="s">
        <v>21</v>
      </c>
      <c r="C7" s="26" t="s">
        <v>22</v>
      </c>
      <c r="F7" s="28"/>
    </row>
    <row r="8" spans="2:8" ht="12.75">
      <c r="B8" s="7"/>
      <c r="C8" s="13"/>
      <c r="D8" s="25" t="s">
        <v>23</v>
      </c>
      <c r="E8" s="8"/>
      <c r="F8" s="29"/>
      <c r="G8" s="13"/>
      <c r="H8" s="20"/>
    </row>
    <row r="9" spans="2:8" ht="12.75">
      <c r="B9" s="9" t="s">
        <v>24</v>
      </c>
      <c r="C9" s="18" t="s">
        <v>25</v>
      </c>
      <c r="D9" s="18" t="s">
        <v>26</v>
      </c>
      <c r="E9" s="16" t="s">
        <v>27</v>
      </c>
      <c r="F9" s="30" t="s">
        <v>28</v>
      </c>
      <c r="G9" s="18" t="s">
        <v>29</v>
      </c>
      <c r="H9" s="21" t="s">
        <v>30</v>
      </c>
    </row>
    <row r="10" spans="2:24" ht="12.75">
      <c r="B10" s="10"/>
      <c r="C10" s="14" t="s">
        <v>6</v>
      </c>
      <c r="D10" s="14" t="s">
        <v>31</v>
      </c>
      <c r="E10" s="15" t="s">
        <v>31</v>
      </c>
      <c r="F10" s="15" t="s">
        <v>31</v>
      </c>
      <c r="G10" s="14" t="s">
        <v>8</v>
      </c>
      <c r="H10" s="22" t="s">
        <v>32</v>
      </c>
      <c r="J10" s="49" t="s">
        <v>33</v>
      </c>
      <c r="L10" s="217" t="s">
        <v>23</v>
      </c>
      <c r="M10" s="218"/>
      <c r="N10" s="217" t="str">
        <f>B12</f>
        <v>Wasser</v>
      </c>
      <c r="O10" s="217" t="str">
        <f>B13</f>
        <v>Monoethylenglykol 25%</v>
      </c>
      <c r="P10" s="217" t="str">
        <f>B14</f>
        <v>Monoethylenglykol 33%</v>
      </c>
      <c r="Q10" s="217" t="str">
        <f>B15</f>
        <v>Monopropylenglykol 25%</v>
      </c>
      <c r="R10" s="217" t="str">
        <f>B16</f>
        <v>Monopropylenglykol 33%</v>
      </c>
      <c r="U10" s="67" t="s">
        <v>82</v>
      </c>
      <c r="X10" s="67" t="s">
        <v>34</v>
      </c>
    </row>
    <row r="11" spans="2:18" ht="12.75">
      <c r="B11" s="4"/>
      <c r="C11" s="19"/>
      <c r="D11" s="19"/>
      <c r="E11" s="17"/>
      <c r="G11" s="19"/>
      <c r="H11" s="36"/>
      <c r="I11" s="70"/>
      <c r="J11" s="185"/>
      <c r="L11" s="217"/>
      <c r="M11" s="218"/>
      <c r="N11" s="217"/>
      <c r="O11" s="217"/>
      <c r="P11" s="217"/>
      <c r="Q11" s="217"/>
      <c r="R11" s="217"/>
    </row>
    <row r="12" spans="2:28" ht="12.75">
      <c r="B12" s="4" t="s">
        <v>34</v>
      </c>
      <c r="C12" s="19">
        <v>1000</v>
      </c>
      <c r="D12" s="19">
        <v>1.8E-06</v>
      </c>
      <c r="E12" s="17">
        <v>1.8E-06</v>
      </c>
      <c r="F12" s="3">
        <v>1.31E-06</v>
      </c>
      <c r="G12" s="19">
        <v>4.22</v>
      </c>
      <c r="H12" s="23">
        <v>0</v>
      </c>
      <c r="J12" s="185" t="s">
        <v>35</v>
      </c>
      <c r="K12" s="186">
        <v>10</v>
      </c>
      <c r="L12" s="219">
        <f>INDEX(M12:R12,1,Sondenauslegung!$H$6)</f>
        <v>1.31E-06</v>
      </c>
      <c r="M12" s="220"/>
      <c r="N12" s="221">
        <f>F12</f>
        <v>1.31E-06</v>
      </c>
      <c r="O12" s="221">
        <f>F13</f>
        <v>2.91E-06</v>
      </c>
      <c r="P12" s="221">
        <f>F14</f>
        <v>3.73E-06</v>
      </c>
      <c r="Q12" s="221">
        <f>F15</f>
        <v>3.94E-06</v>
      </c>
      <c r="R12" s="221">
        <f>F16</f>
        <v>5.58E-06</v>
      </c>
      <c r="S12" s="68">
        <v>10</v>
      </c>
      <c r="T12" s="68"/>
      <c r="U12" s="66">
        <f>INDEX(W22:AB22,1,Sondenauslegung!$H$6)</f>
        <v>9.34</v>
      </c>
      <c r="V12" s="66"/>
      <c r="W12" s="66">
        <v>-10</v>
      </c>
      <c r="X12" s="68">
        <v>13.01</v>
      </c>
      <c r="Y12" s="69">
        <v>49.53</v>
      </c>
      <c r="Z12" s="69">
        <v>67.57</v>
      </c>
      <c r="AA12" s="69">
        <v>85.64</v>
      </c>
      <c r="AB12" s="69">
        <v>140.29</v>
      </c>
    </row>
    <row r="13" spans="2:28" ht="12.75">
      <c r="B13" s="4" t="s">
        <v>36</v>
      </c>
      <c r="C13" s="19">
        <v>1053</v>
      </c>
      <c r="D13" s="19">
        <v>6.27E-06</v>
      </c>
      <c r="E13" s="17">
        <v>4.15E-06</v>
      </c>
      <c r="F13" s="17">
        <v>2.91E-06</v>
      </c>
      <c r="G13" s="19">
        <v>3.8</v>
      </c>
      <c r="H13" s="23">
        <v>-14</v>
      </c>
      <c r="J13" s="185" t="s">
        <v>37</v>
      </c>
      <c r="K13" s="186">
        <v>8</v>
      </c>
      <c r="L13" s="219">
        <f>INDEX(M13:R13,1,Sondenauslegung!$H$6)</f>
        <v>1.408E-06</v>
      </c>
      <c r="M13" s="220"/>
      <c r="N13" s="221">
        <f>N$12+(N$17-N$12)/5</f>
        <v>1.408E-06</v>
      </c>
      <c r="O13" s="221">
        <f>O$12+(O$17-O$12)/5</f>
        <v>3.158E-06</v>
      </c>
      <c r="P13" s="221">
        <f>P$12+(P$17-P$12)/5</f>
        <v>4.078E-06</v>
      </c>
      <c r="Q13" s="221">
        <f>Q$12+(Q$17-Q$12)/5</f>
        <v>4.3480000000000006E-06</v>
      </c>
      <c r="R13" s="221">
        <f>R$12+(R$17-R$12)/5</f>
        <v>6.236E-06</v>
      </c>
      <c r="S13" s="68">
        <v>8</v>
      </c>
      <c r="T13" s="68"/>
      <c r="U13" s="66">
        <f>INDEX(W21:AB21,1,Sondenauslegung!$H$6)</f>
        <v>9.94</v>
      </c>
      <c r="V13" s="66"/>
      <c r="W13" s="66">
        <v>-8</v>
      </c>
      <c r="X13" s="68">
        <v>13.01</v>
      </c>
      <c r="Y13" s="69">
        <v>45.26</v>
      </c>
      <c r="Z13" s="69">
        <v>61.51</v>
      </c>
      <c r="AA13" s="69">
        <v>76.91</v>
      </c>
      <c r="AB13" s="69">
        <v>124.79</v>
      </c>
    </row>
    <row r="14" spans="2:28" ht="12.75">
      <c r="B14" s="4" t="s">
        <v>38</v>
      </c>
      <c r="C14" s="19">
        <v>1067</v>
      </c>
      <c r="D14" s="19">
        <v>8.51E-06</v>
      </c>
      <c r="E14" s="17">
        <v>5.47E-06</v>
      </c>
      <c r="F14" s="17">
        <v>3.73E-06</v>
      </c>
      <c r="G14" s="19">
        <v>3.56</v>
      </c>
      <c r="H14" s="23">
        <v>-21</v>
      </c>
      <c r="J14" s="185" t="s">
        <v>39</v>
      </c>
      <c r="K14" s="186">
        <v>6</v>
      </c>
      <c r="L14" s="219">
        <f>INDEX(M14:R14,1,Sondenauslegung!$H$6)</f>
        <v>1.5059999999999999E-06</v>
      </c>
      <c r="M14" s="220"/>
      <c r="N14" s="221">
        <f>N$12+(N$17-N$12)/5*2</f>
        <v>1.5059999999999999E-06</v>
      </c>
      <c r="O14" s="221">
        <f>O$12+(O$17-O$12)/5*2</f>
        <v>3.406E-06</v>
      </c>
      <c r="P14" s="221">
        <f>P$12+(P$17-P$12)/5*2</f>
        <v>4.426E-06</v>
      </c>
      <c r="Q14" s="221">
        <f>Q$12+(Q$17-Q$12)/5*2</f>
        <v>4.756000000000001E-06</v>
      </c>
      <c r="R14" s="221">
        <f>R$12+(R$17-R$12)/5*2</f>
        <v>6.891999999999999E-06</v>
      </c>
      <c r="S14" s="68">
        <v>6</v>
      </c>
      <c r="T14" s="68"/>
      <c r="U14" s="66">
        <f>INDEX(W20:AB20,1,Sondenauslegung!$H$6)</f>
        <v>10.61</v>
      </c>
      <c r="V14" s="66"/>
      <c r="W14" s="66">
        <v>-6</v>
      </c>
      <c r="X14" s="68">
        <v>13.01</v>
      </c>
      <c r="Y14" s="69">
        <v>41.47</v>
      </c>
      <c r="Z14" s="69">
        <v>56.15</v>
      </c>
      <c r="AA14" s="69">
        <v>69.27</v>
      </c>
      <c r="AB14" s="69">
        <v>111.36</v>
      </c>
    </row>
    <row r="15" spans="2:28" ht="12.75">
      <c r="B15" s="4" t="s">
        <v>40</v>
      </c>
      <c r="C15" s="19">
        <v>1032</v>
      </c>
      <c r="D15" s="19">
        <v>9.67E-06</v>
      </c>
      <c r="E15" s="17">
        <v>5.98E-06</v>
      </c>
      <c r="F15" s="17">
        <v>3.94E-06</v>
      </c>
      <c r="G15" s="19">
        <v>3.92</v>
      </c>
      <c r="H15" s="23">
        <v>-10</v>
      </c>
      <c r="J15" s="185" t="s">
        <v>41</v>
      </c>
      <c r="K15" s="186">
        <v>4</v>
      </c>
      <c r="L15" s="219">
        <f>INDEX(M15:R15,1,Sondenauslegung!$H$6)</f>
        <v>1.6039999999999998E-06</v>
      </c>
      <c r="M15" s="220"/>
      <c r="N15" s="221">
        <f>N$12+(N$17-N$12)/5*3</f>
        <v>1.6039999999999998E-06</v>
      </c>
      <c r="O15" s="221">
        <f>O$12+(O$17-O$12)/5*3</f>
        <v>3.654E-06</v>
      </c>
      <c r="P15" s="221">
        <f>P$12+(P$17-P$12)/5*3</f>
        <v>4.774E-06</v>
      </c>
      <c r="Q15" s="221">
        <f>Q$12+(Q$17-Q$12)/5*3</f>
        <v>5.164E-06</v>
      </c>
      <c r="R15" s="221">
        <f>R$12+(R$17-R$12)/5*3</f>
        <v>7.5479999999999996E-06</v>
      </c>
      <c r="S15" s="68">
        <v>4</v>
      </c>
      <c r="T15" s="68"/>
      <c r="U15" s="66">
        <f>INDEX(W19:AB19,1,Sondenauslegung!$H$6)</f>
        <v>11.33</v>
      </c>
      <c r="V15" s="66"/>
      <c r="W15" s="66">
        <v>-4</v>
      </c>
      <c r="X15" s="68">
        <v>13.01</v>
      </c>
      <c r="Y15" s="69">
        <v>38.1</v>
      </c>
      <c r="Z15" s="69">
        <v>51.38</v>
      </c>
      <c r="AA15" s="69">
        <v>62.57</v>
      </c>
      <c r="AB15" s="69">
        <v>99.7</v>
      </c>
    </row>
    <row r="16" spans="2:28" ht="12.75">
      <c r="B16" s="4" t="s">
        <v>42</v>
      </c>
      <c r="C16" s="19">
        <v>1040</v>
      </c>
      <c r="D16" s="19">
        <v>1.515E-05</v>
      </c>
      <c r="E16" s="17">
        <v>8.86E-06</v>
      </c>
      <c r="F16" s="17">
        <v>5.58E-06</v>
      </c>
      <c r="G16" s="19">
        <v>3.72</v>
      </c>
      <c r="H16" s="23">
        <v>-17</v>
      </c>
      <c r="J16" s="185" t="s">
        <v>43</v>
      </c>
      <c r="K16" s="186">
        <v>2</v>
      </c>
      <c r="L16" s="219">
        <f>INDEX(M16:R16,1,Sondenauslegung!$H$6)</f>
        <v>1.702E-06</v>
      </c>
      <c r="M16" s="220"/>
      <c r="N16" s="221">
        <f>N$12+(N$17-N$12)/5*4</f>
        <v>1.702E-06</v>
      </c>
      <c r="O16" s="221">
        <f>O$12+(O$17-O$12)/5*4</f>
        <v>3.902E-06</v>
      </c>
      <c r="P16" s="221">
        <f>P$12+(P$17-P$12)/5*4</f>
        <v>5.122E-06</v>
      </c>
      <c r="Q16" s="221">
        <f>Q$12+(Q$17-Q$12)/5*4</f>
        <v>5.572E-06</v>
      </c>
      <c r="R16" s="221">
        <f>R$12+(R$17-R$12)/5*4</f>
        <v>8.204E-06</v>
      </c>
      <c r="S16" s="68">
        <v>2</v>
      </c>
      <c r="T16" s="68"/>
      <c r="U16" s="66">
        <f>INDEX(W18:AB18,1,Sondenauslegung!$H$6)</f>
        <v>12.13</v>
      </c>
      <c r="V16" s="66"/>
      <c r="W16" s="66">
        <v>-2</v>
      </c>
      <c r="X16" s="68">
        <v>13.01</v>
      </c>
      <c r="Y16" s="69">
        <v>35.08</v>
      </c>
      <c r="Z16" s="69">
        <v>47.15</v>
      </c>
      <c r="AA16" s="69">
        <v>56.67</v>
      </c>
      <c r="AB16" s="69">
        <v>89.53</v>
      </c>
    </row>
    <row r="17" spans="2:28" ht="12.75">
      <c r="B17" s="5"/>
      <c r="C17" s="11"/>
      <c r="D17" s="11"/>
      <c r="E17" s="12"/>
      <c r="F17" s="28"/>
      <c r="G17" s="11"/>
      <c r="H17" s="24"/>
      <c r="J17" s="185" t="s">
        <v>44</v>
      </c>
      <c r="K17" s="185">
        <v>0</v>
      </c>
      <c r="L17" s="219">
        <f>INDEX(M17:R17,1,Sondenauslegung!$H$6)</f>
        <v>1.8E-06</v>
      </c>
      <c r="M17" s="220"/>
      <c r="N17" s="221">
        <f>E12</f>
        <v>1.8E-06</v>
      </c>
      <c r="O17" s="221">
        <f>E13</f>
        <v>4.15E-06</v>
      </c>
      <c r="P17" s="221">
        <f>E14</f>
        <v>5.47E-06</v>
      </c>
      <c r="Q17" s="221">
        <f>E15</f>
        <v>5.98E-06</v>
      </c>
      <c r="R17" s="221">
        <f>E16</f>
        <v>8.86E-06</v>
      </c>
      <c r="S17" s="66">
        <v>0</v>
      </c>
      <c r="T17" s="66"/>
      <c r="U17" s="66">
        <f>INDEX(W17:AB17,1,Sondenauslegung!$H$6)</f>
        <v>13.01</v>
      </c>
      <c r="V17" s="66"/>
      <c r="W17" s="66">
        <v>0</v>
      </c>
      <c r="X17" s="68">
        <v>13.01</v>
      </c>
      <c r="Y17" s="68">
        <v>32.37</v>
      </c>
      <c r="Z17" s="68">
        <v>43.37</v>
      </c>
      <c r="AA17" s="68">
        <v>51.47</v>
      </c>
      <c r="AB17" s="68">
        <v>80.63</v>
      </c>
    </row>
    <row r="18" spans="10:28" ht="12.75">
      <c r="J18" s="185" t="s">
        <v>45</v>
      </c>
      <c r="K18" s="185">
        <v>-2</v>
      </c>
      <c r="L18" s="219">
        <f>INDEX(M18:R18,1,Sondenauslegung!$H$6)</f>
        <v>1.8E-06</v>
      </c>
      <c r="M18" s="220"/>
      <c r="N18" s="221">
        <f>N17+(N22-N17)/5</f>
        <v>1.8E-06</v>
      </c>
      <c r="O18" s="221">
        <f>O17+(O22-O17)/5</f>
        <v>4.574E-06</v>
      </c>
      <c r="P18" s="221">
        <f>P17+(P22-P17)/5</f>
        <v>6.078E-06</v>
      </c>
      <c r="Q18" s="221">
        <f>Q17+(Q22-Q17)/5</f>
        <v>6.718000000000001E-06</v>
      </c>
      <c r="R18" s="221">
        <f>R17+(R22-R17)/5</f>
        <v>1.0118E-05</v>
      </c>
      <c r="S18" s="66">
        <v>-2</v>
      </c>
      <c r="T18" s="66"/>
      <c r="U18" s="66">
        <f>INDEX(W16:AB16,1,Sondenauslegung!$H$6)</f>
        <v>13.01</v>
      </c>
      <c r="V18" s="66"/>
      <c r="W18" s="66">
        <v>2</v>
      </c>
      <c r="X18" s="68">
        <v>12.13</v>
      </c>
      <c r="Y18" s="68">
        <v>29.95</v>
      </c>
      <c r="Z18" s="68">
        <v>39.98</v>
      </c>
      <c r="AA18" s="68">
        <v>46.87</v>
      </c>
      <c r="AB18" s="68">
        <v>72.83</v>
      </c>
    </row>
    <row r="19" spans="2:28" ht="12.75">
      <c r="B19" s="6" t="s">
        <v>46</v>
      </c>
      <c r="G19" s="6" t="s">
        <v>110</v>
      </c>
      <c r="I19" s="70"/>
      <c r="J19" s="185" t="s">
        <v>47</v>
      </c>
      <c r="K19" s="185">
        <v>-4</v>
      </c>
      <c r="L19" s="219">
        <f>INDEX(M19:R19,1,Sondenauslegung!$H$6)</f>
        <v>1.8E-06</v>
      </c>
      <c r="M19" s="220"/>
      <c r="N19" s="221">
        <f>N17+(N22-N17)/5*2</f>
        <v>1.8E-06</v>
      </c>
      <c r="O19" s="221">
        <f>O17+(O22-O17)/5*2</f>
        <v>4.998E-06</v>
      </c>
      <c r="P19" s="221">
        <f>P17+(P22-P17)/5*2</f>
        <v>6.686E-06</v>
      </c>
      <c r="Q19" s="221">
        <f>Q17+(Q22-Q17)/5*2</f>
        <v>7.456E-06</v>
      </c>
      <c r="R19" s="221">
        <f>R17+(R22-R17)/5*2</f>
        <v>1.1376000000000001E-05</v>
      </c>
      <c r="S19" s="66">
        <v>-4</v>
      </c>
      <c r="T19" s="66"/>
      <c r="U19" s="66">
        <f>INDEX(W15:AB15,1,Sondenauslegung!$H$6)</f>
        <v>13.01</v>
      </c>
      <c r="V19" s="66"/>
      <c r="W19" s="66">
        <v>4</v>
      </c>
      <c r="X19" s="68">
        <v>11.33</v>
      </c>
      <c r="Y19" s="68">
        <v>27.76</v>
      </c>
      <c r="Z19" s="68">
        <v>36.95</v>
      </c>
      <c r="AA19" s="68">
        <v>42.78</v>
      </c>
      <c r="AB19" s="68">
        <v>65.97</v>
      </c>
    </row>
    <row r="20" spans="2:28" ht="12.75">
      <c r="B20" s="13"/>
      <c r="C20" s="13" t="s">
        <v>48</v>
      </c>
      <c r="D20" s="13" t="s">
        <v>49</v>
      </c>
      <c r="E20" s="13" t="s">
        <v>50</v>
      </c>
      <c r="F20" s="20"/>
      <c r="G20" s="13" t="s">
        <v>114</v>
      </c>
      <c r="H20" s="20"/>
      <c r="I20" s="73"/>
      <c r="J20" s="185" t="s">
        <v>51</v>
      </c>
      <c r="K20" s="185">
        <v>-6</v>
      </c>
      <c r="L20" s="219">
        <f>INDEX(M20:R20,1,Sondenauslegung!$H$6)</f>
        <v>1.8E-06</v>
      </c>
      <c r="M20" s="220"/>
      <c r="N20" s="221">
        <f>N17+(N22-N17)/5*3</f>
        <v>1.8E-06</v>
      </c>
      <c r="O20" s="221">
        <f>O17+(O22-O17)/5*3</f>
        <v>5.422E-06</v>
      </c>
      <c r="P20" s="221">
        <f>P17+(P22-P17)/5*3</f>
        <v>7.294E-06</v>
      </c>
      <c r="Q20" s="221">
        <f>Q17+(Q22-Q17)/5*3</f>
        <v>8.194E-06</v>
      </c>
      <c r="R20" s="221">
        <f>R17+(R22-R17)/5*3</f>
        <v>1.2634E-05</v>
      </c>
      <c r="S20" s="66">
        <v>-6</v>
      </c>
      <c r="T20" s="66"/>
      <c r="U20" s="66">
        <f>INDEX(W14:AB14,1,Sondenauslegung!$H$6)</f>
        <v>13.01</v>
      </c>
      <c r="V20" s="66"/>
      <c r="W20" s="66">
        <v>6</v>
      </c>
      <c r="X20" s="68">
        <v>10.61</v>
      </c>
      <c r="Y20" s="68">
        <v>25.79</v>
      </c>
      <c r="Z20" s="68">
        <v>34.22</v>
      </c>
      <c r="AA20" s="68">
        <v>39.15</v>
      </c>
      <c r="AB20" s="68">
        <v>59.91</v>
      </c>
    </row>
    <row r="21" spans="2:28" ht="12.75">
      <c r="B21" s="14"/>
      <c r="C21" s="14" t="s">
        <v>11</v>
      </c>
      <c r="D21" s="14" t="s">
        <v>11</v>
      </c>
      <c r="E21" s="14" t="s">
        <v>11</v>
      </c>
      <c r="F21" s="22"/>
      <c r="G21" s="14" t="s">
        <v>115</v>
      </c>
      <c r="H21" s="22"/>
      <c r="I21" s="73"/>
      <c r="J21" s="185" t="s">
        <v>52</v>
      </c>
      <c r="K21" s="185">
        <v>-8</v>
      </c>
      <c r="L21" s="219">
        <f>INDEX(M21:R21,1,Sondenauslegung!$H$6)</f>
        <v>1.8E-06</v>
      </c>
      <c r="M21" s="220"/>
      <c r="N21" s="221">
        <f>N17+(N22-N17)/5*4</f>
        <v>1.8E-06</v>
      </c>
      <c r="O21" s="221">
        <f>O17+(O22-O17)/5*4</f>
        <v>5.846E-06</v>
      </c>
      <c r="P21" s="221">
        <f>P17+(P22-P17)/5*4</f>
        <v>7.902E-06</v>
      </c>
      <c r="Q21" s="221">
        <f>Q17+(Q22-Q17)/5*4</f>
        <v>8.932E-06</v>
      </c>
      <c r="R21" s="221">
        <f>R17+(R22-R17)/5*4</f>
        <v>1.3892E-05</v>
      </c>
      <c r="S21" s="66">
        <v>-8</v>
      </c>
      <c r="T21" s="66"/>
      <c r="U21" s="66">
        <f>INDEX(W13:AB13,1,Sondenauslegung!$H$6)</f>
        <v>13.01</v>
      </c>
      <c r="V21" s="66"/>
      <c r="W21" s="66">
        <v>8</v>
      </c>
      <c r="X21" s="68">
        <v>9.94</v>
      </c>
      <c r="Y21" s="68">
        <v>24</v>
      </c>
      <c r="Z21" s="68">
        <v>31.76</v>
      </c>
      <c r="AA21" s="68">
        <v>35.91</v>
      </c>
      <c r="AB21" s="68">
        <v>54.55</v>
      </c>
    </row>
    <row r="22" spans="2:28" ht="12.75">
      <c r="B22" s="4"/>
      <c r="C22" s="19"/>
      <c r="D22" s="19"/>
      <c r="E22" s="19"/>
      <c r="F22" s="23"/>
      <c r="G22" s="19"/>
      <c r="H22" s="23"/>
      <c r="I22" s="70"/>
      <c r="J22" s="185" t="s">
        <v>53</v>
      </c>
      <c r="K22" s="185">
        <v>-10</v>
      </c>
      <c r="L22" s="219">
        <f>INDEX(M22:R22,1,Sondenauslegung!$H$6)</f>
        <v>1.8E-06</v>
      </c>
      <c r="M22" s="220"/>
      <c r="N22" s="221">
        <f>D12</f>
        <v>1.8E-06</v>
      </c>
      <c r="O22" s="221">
        <f>D13</f>
        <v>6.27E-06</v>
      </c>
      <c r="P22" s="221">
        <f>D14</f>
        <v>8.51E-06</v>
      </c>
      <c r="Q22" s="221">
        <f>D15</f>
        <v>9.67E-06</v>
      </c>
      <c r="R22" s="221">
        <f>D16</f>
        <v>1.515E-05</v>
      </c>
      <c r="S22" s="66">
        <v>-10</v>
      </c>
      <c r="T22" s="66"/>
      <c r="U22" s="66">
        <f>INDEX(W12:AB12,1,Sondenauslegung!$H$6)</f>
        <v>13.01</v>
      </c>
      <c r="V22" s="66"/>
      <c r="W22" s="66">
        <v>10</v>
      </c>
      <c r="X22" s="68">
        <v>9.34</v>
      </c>
      <c r="Y22" s="68">
        <v>22.39</v>
      </c>
      <c r="Z22" s="68">
        <v>29.55</v>
      </c>
      <c r="AA22" s="68">
        <v>33.02</v>
      </c>
      <c r="AB22" s="68">
        <v>49.8</v>
      </c>
    </row>
    <row r="23" spans="1:9" ht="12.75">
      <c r="A23" s="3" t="s">
        <v>100</v>
      </c>
      <c r="B23" s="4" t="s">
        <v>173</v>
      </c>
      <c r="C23" s="19">
        <v>0.025</v>
      </c>
      <c r="D23" s="19">
        <v>0.0023</v>
      </c>
      <c r="E23" s="19">
        <v>0.0204</v>
      </c>
      <c r="F23" s="23"/>
      <c r="G23" s="19" t="s">
        <v>111</v>
      </c>
      <c r="H23" s="38">
        <f>IF(H&lt;&gt;"",0.012*(re^0.87-280)*prandtl^0.4*(1+(dinnen/2/H)^(2/3)),0)</f>
        <v>0</v>
      </c>
      <c r="I23" s="74"/>
    </row>
    <row r="24" spans="1:9" ht="12.75">
      <c r="A24" s="3" t="s">
        <v>101</v>
      </c>
      <c r="B24" s="4" t="s">
        <v>174</v>
      </c>
      <c r="C24" s="19">
        <v>0.032</v>
      </c>
      <c r="D24" s="19">
        <v>0.003</v>
      </c>
      <c r="E24" s="19">
        <v>0.026</v>
      </c>
      <c r="F24" s="23"/>
      <c r="G24" s="19" t="s">
        <v>112</v>
      </c>
      <c r="H24" s="38">
        <f>IF(H&lt;&gt;"",4.36,0)</f>
        <v>0</v>
      </c>
      <c r="I24" s="70"/>
    </row>
    <row r="25" spans="1:17" ht="12.75">
      <c r="A25" s="3" t="s">
        <v>102</v>
      </c>
      <c r="B25" s="4" t="s">
        <v>175</v>
      </c>
      <c r="C25" s="19">
        <v>0.04</v>
      </c>
      <c r="D25" s="19">
        <v>0.0037</v>
      </c>
      <c r="E25" s="19">
        <v>0.0326</v>
      </c>
      <c r="F25" s="23"/>
      <c r="G25" s="19" t="s">
        <v>137</v>
      </c>
      <c r="H25" s="38">
        <f>rho*nue*cp/1000/prandtl</f>
        <v>0.5974298323036186</v>
      </c>
      <c r="I25" s="71"/>
      <c r="Q25" s="71"/>
    </row>
    <row r="26" spans="2:9" ht="12.75">
      <c r="B26" s="5"/>
      <c r="C26" s="11"/>
      <c r="D26" s="11"/>
      <c r="E26" s="11"/>
      <c r="F26" s="24"/>
      <c r="G26" s="11" t="s">
        <v>113</v>
      </c>
      <c r="H26" s="39">
        <f>IF(re&lt;2300,H24*H25/dinnen,H23*H25/dinnen)</f>
        <v>0</v>
      </c>
      <c r="I26" s="70"/>
    </row>
    <row r="28" spans="2:21" ht="12.75">
      <c r="B28" s="6" t="s">
        <v>61</v>
      </c>
      <c r="E28" s="6" t="s">
        <v>64</v>
      </c>
      <c r="N28" s="76"/>
      <c r="T28" s="68"/>
      <c r="U28" s="68"/>
    </row>
    <row r="29" spans="2:22" ht="12.75">
      <c r="B29" s="13"/>
      <c r="C29" s="20" t="s">
        <v>69</v>
      </c>
      <c r="E29" s="13"/>
      <c r="F29" s="20" t="s">
        <v>77</v>
      </c>
      <c r="G29" s="20" t="s">
        <v>73</v>
      </c>
      <c r="K29" s="45"/>
      <c r="O29" s="71"/>
      <c r="P29" s="71"/>
      <c r="S29" s="68"/>
      <c r="T29" s="68"/>
      <c r="U29" s="68"/>
      <c r="V29" s="68"/>
    </row>
    <row r="30" spans="2:23" ht="12.75">
      <c r="B30" s="14"/>
      <c r="C30" s="22" t="s">
        <v>14</v>
      </c>
      <c r="E30" s="14"/>
      <c r="F30" s="22" t="s">
        <v>78</v>
      </c>
      <c r="G30" s="22" t="s">
        <v>4</v>
      </c>
      <c r="K30" s="45"/>
      <c r="N30" s="77"/>
      <c r="O30" s="77"/>
      <c r="P30" s="77"/>
      <c r="W30" s="184"/>
    </row>
    <row r="31" spans="2:16" ht="12.75">
      <c r="B31" s="4"/>
      <c r="C31" s="23"/>
      <c r="E31" s="4"/>
      <c r="F31" s="23"/>
      <c r="G31" s="33"/>
      <c r="N31" s="77"/>
      <c r="O31" s="77"/>
      <c r="P31" s="77"/>
    </row>
    <row r="32" spans="2:16" ht="12.75">
      <c r="B32" s="4" t="s">
        <v>70</v>
      </c>
      <c r="C32" s="23">
        <v>0.8</v>
      </c>
      <c r="E32" s="4" t="s">
        <v>150</v>
      </c>
      <c r="F32" s="23">
        <v>172800</v>
      </c>
      <c r="G32" s="34">
        <f>IF(H&lt;&gt;"",LN(H/(db/100))+0.5*LN(9*F32*lambdaErde/H^2/cpErde/rhoErde),0)</f>
        <v>0</v>
      </c>
      <c r="N32" s="77"/>
      <c r="O32" s="77"/>
      <c r="P32" s="77"/>
    </row>
    <row r="33" spans="2:16" ht="12.75">
      <c r="B33" s="4" t="s">
        <v>71</v>
      </c>
      <c r="C33" s="23">
        <v>1.4</v>
      </c>
      <c r="E33" s="4" t="s">
        <v>151</v>
      </c>
      <c r="F33" s="23">
        <v>432000</v>
      </c>
      <c r="G33" s="34">
        <f>IF(H&lt;&gt;"",LN(H/(db/100))+0.5*LN(9*F33*lambdaErde/H^2/cpErde/rhoErde),0)</f>
        <v>0</v>
      </c>
      <c r="J33" s="188" t="s">
        <v>162</v>
      </c>
      <c r="N33" s="225" t="s">
        <v>216</v>
      </c>
      <c r="O33" s="77"/>
      <c r="P33" s="225">
        <v>2</v>
      </c>
    </row>
    <row r="34" spans="2:16" ht="12.75">
      <c r="B34" s="4" t="s">
        <v>72</v>
      </c>
      <c r="C34" s="23">
        <v>2</v>
      </c>
      <c r="E34" s="4" t="s">
        <v>83</v>
      </c>
      <c r="F34" s="23">
        <v>1728000</v>
      </c>
      <c r="G34" s="34">
        <f>IF(H&lt;&gt;"",LN(H/(db/100))+0.5*LN(9*F34*lambdaErde/H^2/cpErde/rhoErde),0)</f>
        <v>0</v>
      </c>
      <c r="J34" s="49" t="s">
        <v>163</v>
      </c>
      <c r="N34" s="226" t="s">
        <v>214</v>
      </c>
      <c r="O34" s="77"/>
      <c r="P34" s="77"/>
    </row>
    <row r="35" spans="2:16" ht="12.75">
      <c r="B35" s="5"/>
      <c r="C35" s="24"/>
      <c r="E35" s="5"/>
      <c r="F35" s="24"/>
      <c r="G35" s="35"/>
      <c r="J35" s="49" t="s">
        <v>0</v>
      </c>
      <c r="N35" s="226" t="s">
        <v>215</v>
      </c>
      <c r="O35" s="77"/>
      <c r="P35" s="77"/>
    </row>
    <row r="36" spans="2:16" ht="12.75">
      <c r="B36" s="32"/>
      <c r="C36" s="17"/>
      <c r="N36" s="77"/>
      <c r="O36" s="77"/>
      <c r="P36" s="77"/>
    </row>
    <row r="37" spans="2:16" ht="21">
      <c r="B37" s="40" t="s">
        <v>117</v>
      </c>
      <c r="N37" s="77"/>
      <c r="O37" s="77"/>
      <c r="P37" s="77"/>
    </row>
    <row r="38" spans="2:16" ht="12.75">
      <c r="B38" s="3" t="s">
        <v>118</v>
      </c>
      <c r="C38" s="3">
        <f>INDEX(E23:E25,Sondenauslegung!D33,1)</f>
        <v>0.026</v>
      </c>
      <c r="D38" s="3" t="s">
        <v>11</v>
      </c>
      <c r="E38" s="52" t="s">
        <v>139</v>
      </c>
      <c r="F38" s="17"/>
      <c r="N38" s="77"/>
      <c r="O38" s="77"/>
      <c r="P38" s="77"/>
    </row>
    <row r="39" spans="2:16" ht="12.75">
      <c r="B39" s="3" t="s">
        <v>168</v>
      </c>
      <c r="C39" s="43">
        <f>IF(wSonde&lt;&gt;"",IF(Fluid=1,,wSonde*dinnen/nue*1000000),"")</f>
      </c>
      <c r="E39" s="3" t="s">
        <v>165</v>
      </c>
      <c r="F39" s="17"/>
      <c r="G39" s="37">
        <f>IF(AND(Sondenauslegung!J22&gt;0,Sondenauslegung!D24&lt;&gt;""),2*Sondenauslegung!J22*ZetaAnschluss*rho*wAnschluss*wAnschluss/2/dAnschluss,0)</f>
        <v>0</v>
      </c>
      <c r="H39" s="3" t="s">
        <v>17</v>
      </c>
      <c r="I39" s="75"/>
      <c r="O39" s="71"/>
      <c r="P39" s="71"/>
    </row>
    <row r="40" spans="2:8" ht="12.75">
      <c r="B40" s="3" t="s">
        <v>119</v>
      </c>
      <c r="C40" s="3">
        <f>(INDEX(U12:U22,Sondenauslegung!J6,1))</f>
        <v>11.33</v>
      </c>
      <c r="E40" s="32" t="s">
        <v>166</v>
      </c>
      <c r="F40" s="17"/>
      <c r="G40" s="37">
        <f>IF(AND(Sondenauslegung!D21&gt;0,Sondenauslegung!D24&lt;&gt;""),Sondenauslegung!D20/(Sondenauslegung!D21/Sondenauslegung!D24)^2,Sondenauslegung!D20)</f>
        <v>0</v>
      </c>
      <c r="H40" s="3" t="s">
        <v>17</v>
      </c>
    </row>
    <row r="41" spans="2:8" ht="12.75">
      <c r="B41" s="3" t="s">
        <v>120</v>
      </c>
      <c r="C41" s="42">
        <f>INDEX(G32:G34,Sondenauslegung!D22,1)</f>
        <v>0</v>
      </c>
      <c r="E41" s="32" t="s">
        <v>89</v>
      </c>
      <c r="F41" s="17"/>
      <c r="G41" s="37">
        <f>IF(AND(Sondenauslegung!J16&gt;0,Sondenauslegung!D24&lt;&gt;""),Sondenauslegung!J15/(Sondenauslegung!J16/Sondenauslegung!D24)^2,Sondenauslegung!J15)</f>
        <v>0</v>
      </c>
      <c r="H41" s="3" t="s">
        <v>17</v>
      </c>
    </row>
    <row r="42" spans="2:8" ht="15">
      <c r="B42" s="31" t="s">
        <v>121</v>
      </c>
      <c r="C42" s="43">
        <f>IF(dinnen&lt;&gt;"",IF(re&lt;2300,H24*H25/dinnen,H23*H25/dinnen),0)</f>
        <v>0</v>
      </c>
      <c r="D42" s="3" t="s">
        <v>143</v>
      </c>
      <c r="E42" s="32" t="s">
        <v>84</v>
      </c>
      <c r="F42" s="17"/>
      <c r="G42" s="37">
        <f>IF(AND(Sondenauslegung!J18&gt;0,Sondenauslegung!D24&lt;&gt;""),Sondenauslegung!J17/(Sondenauslegung!J18/Sondenauslegung!D24)^2,Sondenauslegung!J17)</f>
        <v>0</v>
      </c>
      <c r="H42" s="3" t="s">
        <v>17</v>
      </c>
    </row>
    <row r="43" spans="2:8" ht="12.75">
      <c r="B43" s="3" t="s">
        <v>144</v>
      </c>
      <c r="C43" s="60">
        <f>IF(alpha&gt;0,1/(8*PI()*alpha*(dinnen/2)),0)</f>
        <v>0</v>
      </c>
      <c r="D43" s="41" t="s">
        <v>124</v>
      </c>
      <c r="E43" s="3" t="s">
        <v>184</v>
      </c>
      <c r="G43" s="37" t="e">
        <f>IF(pd&lt;&gt;"",pd*(Sondenauslegung!J24*2+Sondenauslegung!J25*1)/1000,0)</f>
        <v>#VALUE!</v>
      </c>
      <c r="H43" s="3" t="s">
        <v>17</v>
      </c>
    </row>
    <row r="44" spans="2:8" ht="12.75">
      <c r="B44" s="3" t="s">
        <v>212</v>
      </c>
      <c r="C44" s="43" t="e">
        <f>IF(wSonde&lt;&gt;"",rho/2*(IF(Fluid=1,,mSonde/3600*4/rho/(dinnen)^2/PI()))^2,"")*(3-P33)</f>
        <v>#VALUE!</v>
      </c>
      <c r="D44" s="3" t="s">
        <v>125</v>
      </c>
      <c r="E44" s="49" t="s">
        <v>185</v>
      </c>
      <c r="F44" s="17"/>
      <c r="G44" s="58" t="e">
        <f>IF(pd&lt;&gt;"",pd*(Sondenauslegung!J26)/1000,0)</f>
        <v>#VALUE!</v>
      </c>
      <c r="H44" s="3" t="s">
        <v>17</v>
      </c>
    </row>
    <row r="45" spans="2:8" ht="12.75">
      <c r="B45" s="3" t="s">
        <v>126</v>
      </c>
      <c r="C45" s="43">
        <f>IF(wSonde&lt;&gt;"",(IF(re&gt;0,G49,0))/dinnen*rho/2*wSonde^2,"")</f>
      </c>
      <c r="D45" s="3" t="s">
        <v>16</v>
      </c>
      <c r="E45" s="32" t="s">
        <v>183</v>
      </c>
      <c r="F45" s="17"/>
      <c r="G45" s="37">
        <f>IF(AND(Sondenauslegung!J20&gt;0,Sondenauslegung!D24&lt;&gt;""),Sondenauslegung!J19/(Sondenauslegung!J20/Sondenauslegung!D24)^2,Sondenauslegung!J19)</f>
        <v>0</v>
      </c>
      <c r="H45" s="3" t="s">
        <v>17</v>
      </c>
    </row>
    <row r="46" spans="2:8" ht="12.75">
      <c r="B46" s="3" t="s">
        <v>145</v>
      </c>
      <c r="C46" s="60">
        <f>IF(lambdaErde&gt;0,gfunk/(2*PI()*lambdaErde),0)</f>
        <v>0</v>
      </c>
      <c r="D46" s="41" t="s">
        <v>124</v>
      </c>
      <c r="E46" s="3" t="s">
        <v>157</v>
      </c>
      <c r="G46" s="37" t="e">
        <f>IF(pd&lt;&gt;"",4*pd/1000,0)/(3-P33)</f>
        <v>#VALUE!</v>
      </c>
      <c r="H46" s="3" t="s">
        <v>17</v>
      </c>
    </row>
    <row r="47" spans="2:8" ht="12.75">
      <c r="B47" s="3" t="s">
        <v>146</v>
      </c>
      <c r="C47" s="60">
        <f>IF(mSonde&lt;&gt;"",H/(2*mSonde/3.6*cp),0)</f>
        <v>0</v>
      </c>
      <c r="D47" s="41" t="s">
        <v>124</v>
      </c>
      <c r="E47" s="53" t="s">
        <v>138</v>
      </c>
      <c r="G47" s="54" t="e">
        <f>SUM(G39:G46)</f>
        <v>#VALUE!</v>
      </c>
      <c r="H47" s="53" t="s">
        <v>17</v>
      </c>
    </row>
    <row r="48" spans="2:4" ht="12.75">
      <c r="B48" s="3" t="s">
        <v>209</v>
      </c>
      <c r="C48" s="59">
        <f>IF(qspez&lt;&gt;"",Sondenauslegung!D13-(C46+ra+rc+C47)*qspez,0)</f>
        <v>0</v>
      </c>
      <c r="D48" s="3" t="s">
        <v>32</v>
      </c>
    </row>
    <row r="49" spans="2:7" ht="12.75">
      <c r="B49" s="3" t="s">
        <v>172</v>
      </c>
      <c r="C49" s="59">
        <f>IF(COP&gt;0,Qh*(1-1/COP),0)</f>
        <v>0</v>
      </c>
      <c r="D49" s="3" t="s">
        <v>20</v>
      </c>
      <c r="E49" s="189" t="s">
        <v>169</v>
      </c>
      <c r="G49" s="190">
        <f>IF(re&lt;&gt;"",IF(re&lt;2300,64/re,IF(petukhov=1,(0.79*LN(re)-1.64)^(-2),0.3164/(re^(1/4)))),"")</f>
      </c>
    </row>
    <row r="50" spans="2:4" ht="12.75">
      <c r="B50" s="32" t="s">
        <v>149</v>
      </c>
      <c r="C50" s="65">
        <f>0.08+ra</f>
        <v>0.08</v>
      </c>
      <c r="D50" s="41" t="s">
        <v>124</v>
      </c>
    </row>
    <row r="51" spans="2:5" ht="12.75">
      <c r="B51" s="3" t="s">
        <v>171</v>
      </c>
      <c r="C51" s="80" t="e">
        <f>IF(dAnschluss&lt;&gt;"",IF(Fluid=1,,mSonde/3600*4/rho/(dAnschluss/1000)^2/PI()),"")*(3-P33)</f>
        <v>#VALUE!</v>
      </c>
      <c r="D51" s="3" t="s">
        <v>12</v>
      </c>
      <c r="E51" s="31"/>
    </row>
    <row r="52" spans="2:5" ht="12.75">
      <c r="B52" s="78" t="s">
        <v>156</v>
      </c>
      <c r="C52" s="43">
        <f>IF(dAnschluss&lt;&gt;"",IF(Fluid=1,,wAnschluss*dAnschluss/nue*1000),"")</f>
      </c>
      <c r="E52" s="48"/>
    </row>
    <row r="53" spans="2:3" ht="12.75">
      <c r="B53" s="189" t="s">
        <v>170</v>
      </c>
      <c r="C53" s="192">
        <f>IF(dAnschluss&gt;0,IF(ReAnschluss&gt;0,IF(ReAnschluss&lt;2300,64/ReAnschluss,IF(petukhov=1,(0.79*LN(ReAnschluss)-1.64)^(-2),0.3164/(ReAnschluss^(1/4)))),0),0)</f>
        <v>0</v>
      </c>
    </row>
    <row r="56" ht="12.75">
      <c r="B56" s="79"/>
    </row>
  </sheetData>
  <sheetProtection password="D70C" sheet="1" objects="1" scenarios="1"/>
  <printOptions gridLines="1"/>
  <pageMargins left="0.75" right="0.75" top="1" bottom="1" header="0.511811023" footer="0.511811023"/>
  <pageSetup horizontalDpi="300" verticalDpi="300" orientation="portrait" paperSize="9" scale="77" r:id="rId1"/>
  <headerFooter alignWithMargins="0">
    <oddHeader>&amp;C&amp;A</oddHeader>
    <oddFooter>&amp;CSeite &amp;P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ewsdruck</dc:title>
  <dc:subject>Druckabfall in einer Erdwärmesonde</dc:subject>
  <dc:creator>A. Huber / M. Ochs,  Huber Energietechnik AG</dc:creator>
  <cp:keywords/>
  <dc:description>Version 2.0, September 07</dc:description>
  <cp:lastModifiedBy>Huber</cp:lastModifiedBy>
  <cp:lastPrinted>2007-09-14T11:31:55Z</cp:lastPrinted>
  <dcterms:created xsi:type="dcterms:W3CDTF">1999-08-25T06:10:48Z</dcterms:created>
  <dcterms:modified xsi:type="dcterms:W3CDTF">2007-11-13T23:03:01Z</dcterms:modified>
  <cp:category/>
  <cp:version/>
  <cp:contentType/>
  <cp:contentStatus/>
</cp:coreProperties>
</file>